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<sst xmlns="http://schemas.openxmlformats.org/spreadsheetml/2006/main" count="204" uniqueCount="126">
  <si>
    <t>№ п\п</t>
  </si>
  <si>
    <t>Показатель</t>
  </si>
  <si>
    <t>2 квартал 2009г.</t>
  </si>
  <si>
    <t xml:space="preserve"> 2 квартал 2008г.</t>
  </si>
  <si>
    <t xml:space="preserve">Темп роста в % </t>
  </si>
  <si>
    <t>Ед.изм.</t>
  </si>
  <si>
    <t>Прогноз на 2011 г.</t>
  </si>
  <si>
    <t xml:space="preserve"> январь 2013</t>
  </si>
  <si>
    <t>Отчет за 1 квартал 2011 г. в % к прогнозу на 2011 г.</t>
  </si>
  <si>
    <t xml:space="preserve"> январь 2012</t>
  </si>
  <si>
    <t>Удельный вес в общем объеме</t>
  </si>
  <si>
    <t xml:space="preserve"> январь-февраль 2013</t>
  </si>
  <si>
    <t>январь-февраль 2012</t>
  </si>
  <si>
    <t xml:space="preserve"> январь-март 2013</t>
  </si>
  <si>
    <t>январь-март 2012</t>
  </si>
  <si>
    <t xml:space="preserve"> январь-апрель 2013</t>
  </si>
  <si>
    <t>январь-апрель 2012</t>
  </si>
  <si>
    <t xml:space="preserve"> январь-май 2013</t>
  </si>
  <si>
    <t>январь-май 2012</t>
  </si>
  <si>
    <t xml:space="preserve"> 1 полугодие 2013</t>
  </si>
  <si>
    <t>1 полугодие 2012</t>
  </si>
  <si>
    <t xml:space="preserve"> январь-июль 2013</t>
  </si>
  <si>
    <t>январь-июль 2012</t>
  </si>
  <si>
    <t xml:space="preserve"> январь-август 2013</t>
  </si>
  <si>
    <t xml:space="preserve"> январь-август 2012</t>
  </si>
  <si>
    <t xml:space="preserve"> январь-сентябрь 2013</t>
  </si>
  <si>
    <t>январь-сентябрь 2012</t>
  </si>
  <si>
    <t xml:space="preserve"> январь-октябрь 2013</t>
  </si>
  <si>
    <t>январь-октябрь 2012</t>
  </si>
  <si>
    <t xml:space="preserve"> январь-ноябрь    2013</t>
  </si>
  <si>
    <t>январь-ноябрь   2012</t>
  </si>
  <si>
    <t xml:space="preserve"> январь-декабрь   2013</t>
  </si>
  <si>
    <t>январь-декабрь   2012</t>
  </si>
  <si>
    <t>в 2012</t>
  </si>
  <si>
    <t>в 2013</t>
  </si>
  <si>
    <t>Отгружено товаров собственного производства, выполнено работ и услуг собственными силами по крупным и средним предприятиям осуществляющим промышленную деятельность</t>
  </si>
  <si>
    <t>1848992,9</t>
  </si>
  <si>
    <t>темп роста к предыдущему году</t>
  </si>
  <si>
    <t>106,7</t>
  </si>
  <si>
    <t>в том числе по видам деятельности:</t>
  </si>
  <si>
    <t>Добыча полезных ископаемых</t>
  </si>
  <si>
    <t>66905,5</t>
  </si>
  <si>
    <t>100</t>
  </si>
  <si>
    <t>Обрабатывающие производства</t>
  </si>
  <si>
    <t>979159,9</t>
  </si>
  <si>
    <t>104,1</t>
  </si>
  <si>
    <t xml:space="preserve"> - пр-во крупы, муки грубого  помола, гранул и пр. продуктов из зерновых культур</t>
  </si>
  <si>
    <t xml:space="preserve"> - пр-во мяса и пищевых субпродуктов КРС, свиней, овец, коз, животных семейства лошадиных</t>
  </si>
  <si>
    <t xml:space="preserve"> - пр-во муки из зерновых и растительных культур и готовых мучных смесей и теста для выпечки</t>
  </si>
  <si>
    <t>- текстильное и швейное производство</t>
  </si>
  <si>
    <t>334659,1</t>
  </si>
  <si>
    <t>- обработка древесины и производство изделий из дерева и пробки кроме мебели</t>
  </si>
  <si>
    <t>- издательская и полиграфическая деят-ть</t>
  </si>
  <si>
    <t>16430,1</t>
  </si>
  <si>
    <t>103,7</t>
  </si>
  <si>
    <t>- пр-во прочих неметаллич.изделий</t>
  </si>
  <si>
    <t>- пр-во готовых металлич.изделий</t>
  </si>
  <si>
    <t>- производство мебели и прочей продукции</t>
  </si>
  <si>
    <t>- обработка вторичного сырья</t>
  </si>
  <si>
    <t>- предоставление услуг по ремонту, техническому обслуживанию и переделке железнодорожных локомотивов, трамвайных и прочих моторных вагонов и подвижного состава</t>
  </si>
  <si>
    <t>Производство, передача эл.энергии, газа, пара и горячей воды</t>
  </si>
  <si>
    <t>Производство продукции в натуральном выражении по крупным и средним организациям</t>
  </si>
  <si>
    <t>Мясо и субпродукты пищевых убойных животных</t>
  </si>
  <si>
    <t>Свинина парная, остывшая, охлажденная</t>
  </si>
  <si>
    <t>Мука из зерновых культур, овощных</t>
  </si>
  <si>
    <t>Мука пшеничная и пшенично-ржаная</t>
  </si>
  <si>
    <t>Мука пшеничная высшего сорта</t>
  </si>
  <si>
    <t>Мука пшеничная первого сорта</t>
  </si>
  <si>
    <t>Услуги по ремонту, техническому обслуживанию</t>
  </si>
  <si>
    <t>Тепловая энергия (ККТС)</t>
  </si>
  <si>
    <t>Оборот крупных и средних организаций города, всего:</t>
  </si>
  <si>
    <t>- производство одежды</t>
  </si>
  <si>
    <t>Образование</t>
  </si>
  <si>
    <t>Здравоохранение и предоставление соцуслуг</t>
  </si>
  <si>
    <t>Организация отдыха и развлечений, культуры и спорта</t>
  </si>
  <si>
    <t>Прочие</t>
  </si>
  <si>
    <t>Сельское хозяйство</t>
  </si>
  <si>
    <t>Транспорт (сухоп. и вспомог.трансп.деят-ть)</t>
  </si>
  <si>
    <t>Связь</t>
  </si>
  <si>
    <t>Строительство</t>
  </si>
  <si>
    <t>Торговля (оптовая, розничная и др.)</t>
  </si>
  <si>
    <t>Деятельность гостиниц и ресторанов</t>
  </si>
  <si>
    <t>Операции с недвижимым имуществом</t>
  </si>
  <si>
    <t>Предоставление прочих видов услуг</t>
  </si>
  <si>
    <t>Гос управление и обеспеч. Военной без.</t>
  </si>
  <si>
    <t xml:space="preserve">Удаление сточных вод, отходов </t>
  </si>
  <si>
    <t>Производство судов, летательных и космических аппаратов и прочих транспортных средств</t>
  </si>
  <si>
    <t>Индекс промышленного производства</t>
  </si>
  <si>
    <t>Среднесписочная численность всего по городу, крупные и средние</t>
  </si>
  <si>
    <t xml:space="preserve">в т.ч. </t>
  </si>
  <si>
    <t>крупные и средние</t>
  </si>
  <si>
    <t>малые предприятия</t>
  </si>
  <si>
    <t>с численностью до 15 чел</t>
  </si>
  <si>
    <t>ФОТ всего, тыс. руб.</t>
  </si>
  <si>
    <t xml:space="preserve">Среднемесячная  з/п тыс. руб. </t>
  </si>
  <si>
    <t>Задолженность по заработной плате</t>
  </si>
  <si>
    <t xml:space="preserve">Прибыль прибыльных предприятий по крупным и средним, тыс. руб. </t>
  </si>
  <si>
    <t xml:space="preserve">Убыток убыточных предприятий по крупным и средним, тыс. руб., </t>
  </si>
  <si>
    <t>Сальдированный результат по крупным ис редним предприятиям, тыс. руб.,</t>
  </si>
  <si>
    <t>Всего организаций</t>
  </si>
  <si>
    <t>Количество организаций, получивших прибыль</t>
  </si>
  <si>
    <t>Количество организаций, получивших убыток</t>
  </si>
  <si>
    <t>Доля прибыльных организаций</t>
  </si>
  <si>
    <t>Доля убыточных организаций</t>
  </si>
  <si>
    <t>Уровень регистрируемой безработицы</t>
  </si>
  <si>
    <t>Оборот оптовой торговли по крупным и средним, тыс. руб.</t>
  </si>
  <si>
    <t>Оборот розничной торговли  во всех каналах реализации, тыс. руб</t>
  </si>
  <si>
    <t>крупных и средних организаций</t>
  </si>
  <si>
    <t>субъектов малого и среднего предпринимательства</t>
  </si>
  <si>
    <t>розничных рынков и ярмарок</t>
  </si>
  <si>
    <t>Оборот общественного питания, тыс. руб.</t>
  </si>
  <si>
    <t xml:space="preserve">Индекс физического объема оборота розничной торговли </t>
  </si>
  <si>
    <t>Индекс физического объема оборота общественного питания</t>
  </si>
  <si>
    <t xml:space="preserve">Материалы строительные нерудные </t>
  </si>
  <si>
    <t xml:space="preserve">Гранулы каменные, крошка и порошок </t>
  </si>
  <si>
    <t xml:space="preserve">Галька, гравий, щебень </t>
  </si>
  <si>
    <t>Блоки из ячеистого бетона</t>
  </si>
  <si>
    <t xml:space="preserve">Конструкции строительные сборные из стали </t>
  </si>
  <si>
    <t xml:space="preserve">Электропроводка комплектная для автомобильных средств </t>
  </si>
  <si>
    <t xml:space="preserve">Изделия крепежные , винты мелкие крепежные </t>
  </si>
  <si>
    <t xml:space="preserve">Части и принадлежности для автотранспортных средств </t>
  </si>
  <si>
    <t>Мебель для офисов (ЭМС)</t>
  </si>
  <si>
    <t xml:space="preserve">Тепловая энергия, отпущенная котельными </t>
  </si>
  <si>
    <t xml:space="preserve">Мебель </t>
  </si>
  <si>
    <t xml:space="preserve">Услуги про производстак одежды </t>
  </si>
  <si>
    <t xml:space="preserve">Уточненная информация по  отдельным показателям социально-экономического развития г.Новошахтинска за январь-март 2013 года     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</si>
</sst>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i/>
      <sz val="10"/>
      <color indexed="23"/>
      <name val="Arial Cyr"/>
      <family val="2"/>
    </font>
    <font>
      <b/>
      <i/>
      <sz val="10"/>
      <color indexed="23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 Cyr"/>
      <family val="2"/>
    </font>
    <font>
      <sz val="10"/>
      <color indexed="8"/>
      <name val="Arial"/>
      <family val="2"/>
    </font>
    <font>
      <b/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wrapText="1"/>
      <protection locked="0"/>
    </xf>
    <xf numFmtId="164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 vertical="center"/>
      <protection locked="0"/>
    </xf>
    <xf numFmtId="165" fontId="2" fillId="33" borderId="10" xfId="0" applyNumberFormat="1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  <xf numFmtId="166" fontId="2" fillId="33" borderId="10" xfId="0" applyNumberFormat="1" applyFont="1" applyFill="1" applyBorder="1" applyAlignment="1" applyProtection="1">
      <alignment horizontal="center" vertical="center"/>
      <protection locked="0"/>
    </xf>
    <xf numFmtId="16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66" fontId="9" fillId="33" borderId="10" xfId="0" applyNumberFormat="1" applyFont="1" applyFill="1" applyBorder="1" applyAlignment="1" applyProtection="1">
      <alignment horizontal="center" vertical="center"/>
      <protection locked="0"/>
    </xf>
    <xf numFmtId="166" fontId="2" fillId="33" borderId="10" xfId="0" applyNumberFormat="1" applyFont="1" applyFill="1" applyBorder="1" applyAlignment="1" applyProtection="1">
      <alignment horizontal="center" vertical="center"/>
      <protection/>
    </xf>
    <xf numFmtId="166" fontId="9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165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164" fontId="3" fillId="0" borderId="10" xfId="0" applyNumberFormat="1" applyFont="1" applyFill="1" applyBorder="1" applyAlignment="1" applyProtection="1">
      <alignment horizontal="center" vertical="center"/>
      <protection locked="0"/>
    </xf>
    <xf numFmtId="164" fontId="9" fillId="0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64" fontId="10" fillId="0" borderId="10" xfId="0" applyNumberFormat="1" applyFont="1" applyFill="1" applyBorder="1" applyAlignment="1" applyProtection="1">
      <alignment horizontal="center" vertical="center"/>
      <protection locked="0"/>
    </xf>
    <xf numFmtId="165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166" fontId="10" fillId="0" borderId="10" xfId="0" applyNumberFormat="1" applyFont="1" applyFill="1" applyBorder="1" applyAlignment="1" applyProtection="1">
      <alignment horizontal="center" vertical="center"/>
      <protection locked="0"/>
    </xf>
    <xf numFmtId="166" fontId="11" fillId="0" borderId="10" xfId="0" applyNumberFormat="1" applyFont="1" applyFill="1" applyBorder="1" applyAlignment="1" applyProtection="1">
      <alignment horizontal="center" vertical="center"/>
      <protection locked="0"/>
    </xf>
    <xf numFmtId="164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0" xfId="0" applyNumberFormat="1" applyFont="1" applyFill="1" applyBorder="1" applyAlignment="1" applyProtection="1">
      <alignment horizontal="center" vertical="center"/>
      <protection locked="0"/>
    </xf>
    <xf numFmtId="165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vertical="top" wrapText="1"/>
      <protection locked="0"/>
    </xf>
    <xf numFmtId="2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top" wrapText="1"/>
      <protection locked="0"/>
    </xf>
    <xf numFmtId="166" fontId="3" fillId="0" borderId="10" xfId="0" applyNumberFormat="1" applyFont="1" applyFill="1" applyBorder="1" applyAlignment="1" applyProtection="1">
      <alignment horizontal="center" vertical="center"/>
      <protection locked="0"/>
    </xf>
    <xf numFmtId="166" fontId="13" fillId="0" borderId="10" xfId="0" applyNumberFormat="1" applyFont="1" applyFill="1" applyBorder="1" applyAlignment="1" applyProtection="1">
      <alignment horizontal="center" vertical="center"/>
      <protection locked="0"/>
    </xf>
    <xf numFmtId="164" fontId="0" fillId="0" borderId="10" xfId="0" applyNumberFormat="1" applyFill="1" applyBorder="1" applyAlignment="1" applyProtection="1">
      <alignment horizontal="center" vertical="center" wrapText="1"/>
      <protection locked="0"/>
    </xf>
    <xf numFmtId="164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164" fontId="0" fillId="0" borderId="10" xfId="0" applyNumberFormat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 applyProtection="1">
      <alignment wrapText="1"/>
      <protection locked="0"/>
    </xf>
    <xf numFmtId="4" fontId="10" fillId="0" borderId="10" xfId="0" applyNumberFormat="1" applyFont="1" applyFill="1" applyBorder="1" applyAlignment="1" applyProtection="1">
      <alignment horizontal="center" vertical="center"/>
      <protection locked="0"/>
    </xf>
    <xf numFmtId="2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 applyProtection="1">
      <alignment/>
      <protection locked="0"/>
    </xf>
    <xf numFmtId="2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49" fontId="10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 applyProtection="1">
      <alignment/>
      <protection locked="0"/>
    </xf>
    <xf numFmtId="164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166" fontId="10" fillId="0" borderId="12" xfId="0" applyNumberFormat="1" applyFont="1" applyFill="1" applyBorder="1" applyAlignment="1" applyProtection="1">
      <alignment horizontal="center" vertical="center"/>
      <protection locked="0"/>
    </xf>
    <xf numFmtId="166" fontId="3" fillId="0" borderId="0" xfId="0" applyNumberFormat="1" applyFont="1" applyFill="1" applyAlignment="1" applyProtection="1">
      <alignment horizontal="center" vertical="center"/>
      <protection locked="0"/>
    </xf>
    <xf numFmtId="165" fontId="10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 applyProtection="1">
      <alignment horizontal="center" vertical="center" wrapText="1"/>
      <protection locked="0"/>
    </xf>
    <xf numFmtId="164" fontId="0" fillId="0" borderId="12" xfId="0" applyNumberFormat="1" applyFill="1" applyBorder="1" applyAlignment="1" applyProtection="1">
      <alignment horizontal="center" vertical="center" wrapText="1"/>
      <protection locked="0"/>
    </xf>
    <xf numFmtId="0" fontId="14" fillId="33" borderId="11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left" vertical="top" wrapText="1"/>
      <protection locked="0"/>
    </xf>
    <xf numFmtId="0" fontId="14" fillId="33" borderId="11" xfId="0" applyFont="1" applyFill="1" applyBorder="1" applyAlignment="1" applyProtection="1">
      <alignment/>
      <protection locked="0"/>
    </xf>
    <xf numFmtId="164" fontId="8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165" fontId="8" fillId="33" borderId="12" xfId="0" applyNumberFormat="1" applyFont="1" applyFill="1" applyBorder="1" applyAlignment="1" applyProtection="1">
      <alignment horizontal="center" vertical="center"/>
      <protection locked="0"/>
    </xf>
    <xf numFmtId="166" fontId="8" fillId="33" borderId="11" xfId="0" applyNumberFormat="1" applyFont="1" applyFill="1" applyBorder="1" applyAlignment="1" applyProtection="1">
      <alignment horizontal="center" vertical="center"/>
      <protection locked="0"/>
    </xf>
    <xf numFmtId="165" fontId="8" fillId="33" borderId="11" xfId="55" applyNumberFormat="1" applyFont="1" applyFill="1" applyBorder="1" applyAlignment="1" applyProtection="1">
      <alignment horizontal="center" vertical="center"/>
      <protection locked="0"/>
    </xf>
    <xf numFmtId="2" fontId="14" fillId="33" borderId="11" xfId="0" applyNumberFormat="1" applyFont="1" applyFill="1" applyBorder="1" applyAlignment="1" applyProtection="1">
      <alignment horizontal="center" vertical="center"/>
      <protection locked="0"/>
    </xf>
    <xf numFmtId="4" fontId="14" fillId="34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0" fontId="12" fillId="0" borderId="11" xfId="0" applyFont="1" applyFill="1" applyBorder="1" applyAlignment="1" applyProtection="1">
      <alignment/>
      <protection locked="0"/>
    </xf>
    <xf numFmtId="164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166" fontId="12" fillId="0" borderId="0" xfId="0" applyNumberFormat="1" applyFont="1" applyFill="1" applyAlignment="1" applyProtection="1">
      <alignment/>
      <protection locked="0"/>
    </xf>
    <xf numFmtId="166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/>
      <protection locked="0"/>
    </xf>
    <xf numFmtId="165" fontId="8" fillId="35" borderId="11" xfId="55" applyNumberFormat="1" applyFont="1" applyFill="1" applyBorder="1" applyAlignment="1" applyProtection="1">
      <alignment horizontal="center" vertical="center"/>
      <protection locked="0"/>
    </xf>
    <xf numFmtId="165" fontId="8" fillId="36" borderId="11" xfId="55" applyNumberFormat="1" applyFont="1" applyFill="1" applyBorder="1" applyAlignment="1" applyProtection="1">
      <alignment horizontal="center" vertical="center"/>
      <protection locked="0"/>
    </xf>
    <xf numFmtId="4" fontId="12" fillId="0" borderId="11" xfId="0" applyNumberFormat="1" applyFont="1" applyFill="1" applyBorder="1" applyAlignment="1" applyProtection="1">
      <alignment/>
      <protection locked="0"/>
    </xf>
    <xf numFmtId="4" fontId="10" fillId="0" borderId="11" xfId="0" applyNumberFormat="1" applyFont="1" applyFill="1" applyBorder="1" applyAlignment="1" applyProtection="1">
      <alignment horizontal="center" vertical="center"/>
      <protection locked="0"/>
    </xf>
    <xf numFmtId="2" fontId="12" fillId="0" borderId="11" xfId="0" applyNumberFormat="1" applyFont="1" applyFill="1" applyBorder="1" applyAlignment="1" applyProtection="1">
      <alignment horizontal="center"/>
      <protection locked="0"/>
    </xf>
    <xf numFmtId="3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4" fontId="12" fillId="0" borderId="11" xfId="0" applyNumberFormat="1" applyFont="1" applyFill="1" applyBorder="1" applyAlignment="1" applyProtection="1">
      <alignment horizontal="center"/>
      <protection locked="0"/>
    </xf>
    <xf numFmtId="2" fontId="14" fillId="33" borderId="11" xfId="0" applyNumberFormat="1" applyFont="1" applyFill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164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166" fontId="3" fillId="0" borderId="0" xfId="0" applyNumberFormat="1" applyFont="1" applyAlignment="1" applyProtection="1">
      <alignment horizontal="center" vertical="center"/>
      <protection locked="0"/>
    </xf>
    <xf numFmtId="166" fontId="10" fillId="0" borderId="11" xfId="0" applyNumberFormat="1" applyFont="1" applyBorder="1" applyAlignment="1" applyProtection="1">
      <alignment horizontal="center" vertical="center"/>
      <protection locked="0"/>
    </xf>
    <xf numFmtId="2" fontId="12" fillId="0" borderId="11" xfId="0" applyNumberFormat="1" applyFont="1" applyBorder="1" applyAlignment="1" applyProtection="1">
      <alignment horizontal="center"/>
      <protection locked="0"/>
    </xf>
    <xf numFmtId="166" fontId="3" fillId="0" borderId="11" xfId="0" applyNumberFormat="1" applyFont="1" applyBorder="1" applyAlignment="1" applyProtection="1">
      <alignment horizontal="center" vertical="center"/>
      <protection locked="0"/>
    </xf>
    <xf numFmtId="166" fontId="12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/>
      <protection locked="0"/>
    </xf>
    <xf numFmtId="164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/>
      <protection locked="0"/>
    </xf>
    <xf numFmtId="164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/>
      <protection locked="0"/>
    </xf>
    <xf numFmtId="165" fontId="8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11" xfId="0" applyNumberFormat="1" applyFont="1" applyFill="1" applyBorder="1" applyAlignment="1" applyProtection="1">
      <alignment horizontal="center" vertical="center"/>
      <protection locked="0"/>
    </xf>
    <xf numFmtId="1" fontId="8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 applyProtection="1">
      <alignment horizontal="center" vertical="center" wrapText="1"/>
      <protection locked="0"/>
    </xf>
    <xf numFmtId="165" fontId="10" fillId="33" borderId="11" xfId="55" applyNumberFormat="1" applyFont="1" applyFill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left" vertical="top" wrapText="1"/>
      <protection locked="0"/>
    </xf>
    <xf numFmtId="0" fontId="14" fillId="33" borderId="13" xfId="0" applyFont="1" applyFill="1" applyBorder="1" applyAlignment="1" applyProtection="1">
      <alignment/>
      <protection locked="0"/>
    </xf>
    <xf numFmtId="164" fontId="8" fillId="33" borderId="13" xfId="0" applyNumberFormat="1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166" fontId="8" fillId="33" borderId="13" xfId="0" applyNumberFormat="1" applyFont="1" applyFill="1" applyBorder="1" applyAlignment="1" applyProtection="1">
      <alignment horizontal="center" vertical="center"/>
      <protection locked="0"/>
    </xf>
    <xf numFmtId="166" fontId="8" fillId="33" borderId="0" xfId="0" applyNumberFormat="1" applyFont="1" applyFill="1" applyAlignment="1" applyProtection="1">
      <alignment horizontal="center" vertical="center"/>
      <protection locked="0"/>
    </xf>
    <xf numFmtId="165" fontId="10" fillId="33" borderId="13" xfId="55" applyNumberFormat="1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/>
      <protection locked="0"/>
    </xf>
    <xf numFmtId="164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165" fontId="10" fillId="0" borderId="13" xfId="55" applyNumberFormat="1" applyFont="1" applyFill="1" applyBorder="1" applyAlignment="1" applyProtection="1">
      <alignment horizontal="center" vertical="center"/>
      <protection locked="0"/>
    </xf>
    <xf numFmtId="166" fontId="8" fillId="36" borderId="13" xfId="0" applyNumberFormat="1" applyFont="1" applyFill="1" applyBorder="1" applyAlignment="1" applyProtection="1">
      <alignment horizontal="center" vertical="center"/>
      <protection locked="0"/>
    </xf>
    <xf numFmtId="166" fontId="8" fillId="36" borderId="11" xfId="0" applyNumberFormat="1" applyFont="1" applyFill="1" applyBorder="1" applyAlignment="1" applyProtection="1">
      <alignment horizontal="center" vertical="center"/>
      <protection locked="0"/>
    </xf>
    <xf numFmtId="166" fontId="8" fillId="36" borderId="0" xfId="0" applyNumberFormat="1" applyFont="1" applyFill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left" vertical="top" wrapText="1"/>
      <protection locked="0"/>
    </xf>
    <xf numFmtId="0" fontId="14" fillId="0" borderId="14" xfId="0" applyFont="1" applyFill="1" applyBorder="1" applyAlignment="1" applyProtection="1">
      <alignment/>
      <protection locked="0"/>
    </xf>
    <xf numFmtId="164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166" fontId="8" fillId="0" borderId="14" xfId="0" applyNumberFormat="1" applyFont="1" applyFill="1" applyBorder="1" applyAlignment="1" applyProtection="1">
      <alignment horizontal="center" vertical="center"/>
      <protection locked="0"/>
    </xf>
    <xf numFmtId="166" fontId="8" fillId="0" borderId="0" xfId="0" applyNumberFormat="1" applyFont="1" applyFill="1" applyAlignment="1" applyProtection="1">
      <alignment horizontal="center" vertical="center"/>
      <protection locked="0"/>
    </xf>
    <xf numFmtId="166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49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16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16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R329"/>
  <sheetViews>
    <sheetView tabSelected="1" zoomScalePageLayoutView="0" workbookViewId="0" topLeftCell="A1">
      <pane ySplit="4" topLeftCell="A41" activePane="bottomLeft" state="frozen"/>
      <selection pane="topLeft" activeCell="A1" sqref="A1"/>
      <selection pane="bottomLeft" activeCell="BT1" sqref="BT1"/>
    </sheetView>
  </sheetViews>
  <sheetFormatPr defaultColWidth="9.140625" defaultRowHeight="15"/>
  <cols>
    <col min="1" max="1" width="4.8515625" style="1" customWidth="1"/>
    <col min="2" max="2" width="42.7109375" style="145" customWidth="1"/>
    <col min="3" max="4" width="0" style="142" hidden="1" customWidth="1"/>
    <col min="5" max="5" width="0" style="143" hidden="1" customWidth="1"/>
    <col min="6" max="9" width="0" style="144" hidden="1" customWidth="1"/>
    <col min="10" max="10" width="14.00390625" style="143" hidden="1" customWidth="1"/>
    <col min="11" max="11" width="0" style="143" hidden="1" customWidth="1"/>
    <col min="12" max="12" width="12.7109375" style="143" hidden="1" customWidth="1"/>
    <col min="13" max="13" width="9.28125" style="144" hidden="1" customWidth="1"/>
    <col min="14" max="14" width="8.8515625" style="2" hidden="1" customWidth="1"/>
    <col min="15" max="15" width="0" style="2" hidden="1" customWidth="1"/>
    <col min="16" max="16" width="14.8515625" style="2" hidden="1" customWidth="1"/>
    <col min="17" max="17" width="15.57421875" style="2" hidden="1" customWidth="1"/>
    <col min="18" max="18" width="10.7109375" style="2" hidden="1" customWidth="1"/>
    <col min="19" max="19" width="9.57421875" style="2" hidden="1" customWidth="1"/>
    <col min="20" max="20" width="10.8515625" style="2" hidden="1" customWidth="1"/>
    <col min="21" max="21" width="11.00390625" style="2" customWidth="1"/>
    <col min="22" max="22" width="11.57421875" style="2" customWidth="1"/>
    <col min="23" max="23" width="9.140625" style="2" customWidth="1"/>
    <col min="24" max="24" width="10.7109375" style="2" customWidth="1"/>
    <col min="25" max="25" width="11.140625" style="2" customWidth="1"/>
    <col min="26" max="26" width="11.8515625" style="2" hidden="1" customWidth="1"/>
    <col min="27" max="27" width="11.57421875" style="2" hidden="1" customWidth="1"/>
    <col min="28" max="30" width="0" style="2" hidden="1" customWidth="1"/>
    <col min="31" max="31" width="11.00390625" style="2" hidden="1" customWidth="1"/>
    <col min="32" max="32" width="11.28125" style="2" hidden="1" customWidth="1"/>
    <col min="33" max="35" width="0" style="2" hidden="1" customWidth="1"/>
    <col min="36" max="36" width="12.140625" style="2" hidden="1" customWidth="1"/>
    <col min="37" max="37" width="11.00390625" style="2" hidden="1" customWidth="1"/>
    <col min="38" max="50" width="9.140625" style="2" hidden="1" customWidth="1"/>
    <col min="51" max="51" width="11.140625" style="2" hidden="1" customWidth="1"/>
    <col min="52" max="52" width="10.57421875" style="2" hidden="1" customWidth="1"/>
    <col min="53" max="55" width="9.140625" style="2" hidden="1" customWidth="1"/>
    <col min="56" max="56" width="11.421875" style="2" hidden="1" customWidth="1"/>
    <col min="57" max="57" width="11.57421875" style="2" hidden="1" customWidth="1"/>
    <col min="58" max="60" width="9.140625" style="2" hidden="1" customWidth="1"/>
    <col min="61" max="61" width="10.8515625" style="2" hidden="1" customWidth="1"/>
    <col min="62" max="70" width="9.140625" style="2" hidden="1" customWidth="1"/>
    <col min="71" max="16384" width="9.140625" style="2" customWidth="1"/>
  </cols>
  <sheetData>
    <row r="1" spans="2:25" ht="66" customHeight="1">
      <c r="B1" s="164" t="s">
        <v>125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</row>
    <row r="2" spans="2:15" ht="15">
      <c r="B2" s="3"/>
      <c r="C2" s="4"/>
      <c r="D2" s="4"/>
      <c r="E2" s="5"/>
      <c r="F2" s="6"/>
      <c r="G2" s="7"/>
      <c r="H2" s="7"/>
      <c r="I2" s="7"/>
      <c r="J2" s="5"/>
      <c r="K2" s="5"/>
      <c r="L2" s="5"/>
      <c r="M2" s="7"/>
      <c r="N2" s="153"/>
      <c r="O2" s="153"/>
    </row>
    <row r="3" spans="1:70" s="8" customFormat="1" ht="24.75" customHeight="1">
      <c r="A3" s="154" t="s">
        <v>0</v>
      </c>
      <c r="B3" s="156" t="s">
        <v>1</v>
      </c>
      <c r="C3" s="158"/>
      <c r="D3" s="159"/>
      <c r="E3" s="160" t="s">
        <v>2</v>
      </c>
      <c r="F3" s="160" t="s">
        <v>3</v>
      </c>
      <c r="G3" s="162" t="s">
        <v>4</v>
      </c>
      <c r="H3" s="147" t="s">
        <v>5</v>
      </c>
      <c r="I3" s="147" t="s">
        <v>6</v>
      </c>
      <c r="J3" s="151" t="s">
        <v>7</v>
      </c>
      <c r="K3" s="151" t="s">
        <v>8</v>
      </c>
      <c r="L3" s="151" t="s">
        <v>9</v>
      </c>
      <c r="M3" s="147" t="s">
        <v>4</v>
      </c>
      <c r="N3" s="149" t="s">
        <v>10</v>
      </c>
      <c r="O3" s="150"/>
      <c r="P3" s="151" t="s">
        <v>11</v>
      </c>
      <c r="Q3" s="151" t="s">
        <v>12</v>
      </c>
      <c r="R3" s="147" t="s">
        <v>4</v>
      </c>
      <c r="S3" s="149" t="s">
        <v>10</v>
      </c>
      <c r="T3" s="150"/>
      <c r="U3" s="151" t="s">
        <v>13</v>
      </c>
      <c r="V3" s="151" t="s">
        <v>14</v>
      </c>
      <c r="W3" s="147" t="s">
        <v>4</v>
      </c>
      <c r="X3" s="149" t="s">
        <v>10</v>
      </c>
      <c r="Y3" s="150"/>
      <c r="Z3" s="151" t="s">
        <v>15</v>
      </c>
      <c r="AA3" s="151" t="s">
        <v>16</v>
      </c>
      <c r="AB3" s="147" t="s">
        <v>4</v>
      </c>
      <c r="AC3" s="149" t="s">
        <v>10</v>
      </c>
      <c r="AD3" s="150"/>
      <c r="AE3" s="151" t="s">
        <v>17</v>
      </c>
      <c r="AF3" s="151" t="s">
        <v>18</v>
      </c>
      <c r="AG3" s="147" t="s">
        <v>4</v>
      </c>
      <c r="AH3" s="149" t="s">
        <v>10</v>
      </c>
      <c r="AI3" s="150"/>
      <c r="AJ3" s="151" t="s">
        <v>19</v>
      </c>
      <c r="AK3" s="151" t="s">
        <v>20</v>
      </c>
      <c r="AL3" s="147" t="s">
        <v>4</v>
      </c>
      <c r="AM3" s="149" t="s">
        <v>10</v>
      </c>
      <c r="AN3" s="150"/>
      <c r="AO3" s="151" t="s">
        <v>21</v>
      </c>
      <c r="AP3" s="151" t="s">
        <v>22</v>
      </c>
      <c r="AQ3" s="147" t="s">
        <v>4</v>
      </c>
      <c r="AR3" s="149" t="s">
        <v>10</v>
      </c>
      <c r="AS3" s="150"/>
      <c r="AT3" s="151" t="s">
        <v>23</v>
      </c>
      <c r="AU3" s="151" t="s">
        <v>24</v>
      </c>
      <c r="AV3" s="147" t="s">
        <v>4</v>
      </c>
      <c r="AW3" s="149" t="s">
        <v>10</v>
      </c>
      <c r="AX3" s="150"/>
      <c r="AY3" s="151" t="s">
        <v>25</v>
      </c>
      <c r="AZ3" s="151" t="s">
        <v>26</v>
      </c>
      <c r="BA3" s="147" t="s">
        <v>4</v>
      </c>
      <c r="BB3" s="149" t="s">
        <v>10</v>
      </c>
      <c r="BC3" s="150"/>
      <c r="BD3" s="151" t="s">
        <v>27</v>
      </c>
      <c r="BE3" s="151" t="s">
        <v>28</v>
      </c>
      <c r="BF3" s="147" t="s">
        <v>4</v>
      </c>
      <c r="BG3" s="149" t="s">
        <v>10</v>
      </c>
      <c r="BH3" s="150"/>
      <c r="BI3" s="151" t="s">
        <v>29</v>
      </c>
      <c r="BJ3" s="151" t="s">
        <v>30</v>
      </c>
      <c r="BK3" s="147" t="s">
        <v>4</v>
      </c>
      <c r="BL3" s="149" t="s">
        <v>10</v>
      </c>
      <c r="BM3" s="150"/>
      <c r="BN3" s="151" t="s">
        <v>31</v>
      </c>
      <c r="BO3" s="151" t="s">
        <v>32</v>
      </c>
      <c r="BP3" s="147" t="s">
        <v>4</v>
      </c>
      <c r="BQ3" s="149" t="s">
        <v>10</v>
      </c>
      <c r="BR3" s="150"/>
    </row>
    <row r="4" spans="1:70" s="8" customFormat="1" ht="21" customHeight="1">
      <c r="A4" s="155"/>
      <c r="B4" s="157"/>
      <c r="C4" s="158"/>
      <c r="D4" s="159"/>
      <c r="E4" s="161"/>
      <c r="F4" s="161"/>
      <c r="G4" s="163"/>
      <c r="H4" s="148"/>
      <c r="I4" s="148"/>
      <c r="J4" s="152"/>
      <c r="K4" s="152"/>
      <c r="L4" s="152"/>
      <c r="M4" s="148"/>
      <c r="N4" s="9" t="s">
        <v>33</v>
      </c>
      <c r="O4" s="9" t="s">
        <v>34</v>
      </c>
      <c r="P4" s="152"/>
      <c r="Q4" s="152"/>
      <c r="R4" s="148"/>
      <c r="S4" s="9" t="s">
        <v>33</v>
      </c>
      <c r="T4" s="9" t="s">
        <v>34</v>
      </c>
      <c r="U4" s="152"/>
      <c r="V4" s="152"/>
      <c r="W4" s="148"/>
      <c r="X4" s="9" t="s">
        <v>34</v>
      </c>
      <c r="Y4" s="9" t="s">
        <v>33</v>
      </c>
      <c r="Z4" s="152"/>
      <c r="AA4" s="152"/>
      <c r="AB4" s="148"/>
      <c r="AC4" s="9" t="s">
        <v>34</v>
      </c>
      <c r="AD4" s="9" t="s">
        <v>33</v>
      </c>
      <c r="AE4" s="152"/>
      <c r="AF4" s="152"/>
      <c r="AG4" s="148"/>
      <c r="AH4" s="9" t="s">
        <v>34</v>
      </c>
      <c r="AI4" s="9" t="s">
        <v>33</v>
      </c>
      <c r="AJ4" s="152"/>
      <c r="AK4" s="152"/>
      <c r="AL4" s="148"/>
      <c r="AM4" s="9" t="s">
        <v>34</v>
      </c>
      <c r="AN4" s="9" t="s">
        <v>33</v>
      </c>
      <c r="AO4" s="152"/>
      <c r="AP4" s="152"/>
      <c r="AQ4" s="148"/>
      <c r="AR4" s="9" t="s">
        <v>34</v>
      </c>
      <c r="AS4" s="9" t="s">
        <v>33</v>
      </c>
      <c r="AT4" s="152"/>
      <c r="AU4" s="152"/>
      <c r="AV4" s="148"/>
      <c r="AW4" s="9" t="s">
        <v>34</v>
      </c>
      <c r="AX4" s="9" t="s">
        <v>33</v>
      </c>
      <c r="AY4" s="152"/>
      <c r="AZ4" s="152"/>
      <c r="BA4" s="148"/>
      <c r="BB4" s="9" t="s">
        <v>34</v>
      </c>
      <c r="BC4" s="9" t="s">
        <v>33</v>
      </c>
      <c r="BD4" s="152"/>
      <c r="BE4" s="152"/>
      <c r="BF4" s="148"/>
      <c r="BG4" s="9" t="s">
        <v>34</v>
      </c>
      <c r="BH4" s="9" t="s">
        <v>33</v>
      </c>
      <c r="BI4" s="152"/>
      <c r="BJ4" s="152"/>
      <c r="BK4" s="148"/>
      <c r="BL4" s="9" t="s">
        <v>34</v>
      </c>
      <c r="BM4" s="9" t="s">
        <v>33</v>
      </c>
      <c r="BN4" s="152"/>
      <c r="BO4" s="152"/>
      <c r="BP4" s="148"/>
      <c r="BQ4" s="9" t="s">
        <v>34</v>
      </c>
      <c r="BR4" s="9" t="s">
        <v>33</v>
      </c>
    </row>
    <row r="5" spans="1:70" s="8" customFormat="1" ht="69" customHeight="1">
      <c r="A5" s="10">
        <v>1</v>
      </c>
      <c r="B5" s="146" t="s">
        <v>35</v>
      </c>
      <c r="C5" s="11"/>
      <c r="D5" s="11"/>
      <c r="E5" s="12" t="e">
        <f>E8+"#ССЫЛ!#ССЫЛ!+E14+E15+E16+E17+E18+E19+E23+E24"</f>
        <v>#VALUE!</v>
      </c>
      <c r="F5" s="12" t="e">
        <f>F8+"#ССЫЛ!#ССЫЛ!+F14+F15+F16+F17+F18+F19+F23+F24"</f>
        <v>#VALUE!</v>
      </c>
      <c r="G5" s="13" t="e">
        <f>E5/F5</f>
        <v>#VALUE!</v>
      </c>
      <c r="H5" s="14"/>
      <c r="I5" s="14" t="s">
        <v>36</v>
      </c>
      <c r="J5" s="15">
        <f>J8+J10+J34</f>
        <v>174318</v>
      </c>
      <c r="K5" s="15">
        <f>K8+K10+K34</f>
        <v>0</v>
      </c>
      <c r="L5" s="15">
        <f>L8+L10+L34</f>
        <v>160390</v>
      </c>
      <c r="M5" s="13">
        <f>J5/L5</f>
        <v>1.086838331566806</v>
      </c>
      <c r="N5" s="16">
        <f>N8+N10+N34</f>
        <v>100</v>
      </c>
      <c r="O5" s="16">
        <f>O8+O10+O34</f>
        <v>100</v>
      </c>
      <c r="P5" s="15">
        <f>P8+P10+P34</f>
        <v>370082</v>
      </c>
      <c r="Q5" s="17">
        <f>Q8+Q10+Q34</f>
        <v>317375</v>
      </c>
      <c r="R5" s="13">
        <f>P5/Q5</f>
        <v>1.1660716817644743</v>
      </c>
      <c r="S5" s="16">
        <f>S8+S10+S34</f>
        <v>100</v>
      </c>
      <c r="T5" s="16">
        <f>T8+T10+T34</f>
        <v>100</v>
      </c>
      <c r="U5" s="15">
        <f>U8+U10+U34</f>
        <v>579271</v>
      </c>
      <c r="V5" s="17">
        <f>V8+V10+V34</f>
        <v>500650</v>
      </c>
      <c r="W5" s="13">
        <f>U5/V5</f>
        <v>1.1570378507939678</v>
      </c>
      <c r="X5" s="16">
        <f>X8+X10+X34</f>
        <v>100.00000000000001</v>
      </c>
      <c r="Y5" s="16">
        <f>Y8+Y10+Y34</f>
        <v>100</v>
      </c>
      <c r="Z5" s="18">
        <f>Z8+Z10+Z34</f>
        <v>774255</v>
      </c>
      <c r="AA5" s="19">
        <f>AA8+AA10+AA34</f>
        <v>652452</v>
      </c>
      <c r="AB5" s="13">
        <f>Z5/AA5</f>
        <v>1.1866849975170588</v>
      </c>
      <c r="AC5" s="16">
        <f>AC8+AC10+AC34</f>
        <v>99.99999999999999</v>
      </c>
      <c r="AD5" s="16">
        <f>AD8+AD10+AD34</f>
        <v>100</v>
      </c>
      <c r="AE5" s="18">
        <f>AE8+AE10+AE34</f>
        <v>956176</v>
      </c>
      <c r="AF5" s="19">
        <f>AF8+AF10+AF34</f>
        <v>809216</v>
      </c>
      <c r="AG5" s="13">
        <f>AE5/AF5</f>
        <v>1.1816078772540335</v>
      </c>
      <c r="AH5" s="16">
        <f>AH8+AH10+AH34</f>
        <v>100</v>
      </c>
      <c r="AI5" s="16">
        <f>AI8+AI10+AI34</f>
        <v>100</v>
      </c>
      <c r="AJ5" s="15">
        <f>AJ8+AJ10+AJ34</f>
        <v>1136950</v>
      </c>
      <c r="AK5" s="15">
        <f>AK8+AK10+AK34</f>
        <v>983922</v>
      </c>
      <c r="AL5" s="13">
        <f>AJ5/AK5</f>
        <v>1.1555285886482871</v>
      </c>
      <c r="AM5" s="16">
        <f>AM8+AM10+AM34</f>
        <v>99.92479880381723</v>
      </c>
      <c r="AN5" s="16">
        <f>AN8+AN10+AN34</f>
        <v>100</v>
      </c>
      <c r="AO5" s="15">
        <f>AO8+AO10+AO34</f>
        <v>0</v>
      </c>
      <c r="AP5" s="17">
        <f>AP8+AP10+AP34</f>
        <v>0</v>
      </c>
      <c r="AQ5" s="13" t="e">
        <f>AO5/AP5</f>
        <v>#DIV/0!</v>
      </c>
      <c r="AR5" s="16" t="e">
        <f>AR8+AR10+AR34</f>
        <v>#DIV/0!</v>
      </c>
      <c r="AS5" s="16" t="e">
        <f>AS8+AS10+AS34</f>
        <v>#DIV/0!</v>
      </c>
      <c r="AT5" s="15">
        <f>AT8+AT10+AT34</f>
        <v>0</v>
      </c>
      <c r="AU5" s="17">
        <f>AU8+AU10+AU34</f>
        <v>0</v>
      </c>
      <c r="AV5" s="13" t="e">
        <f>AT5/AU5</f>
        <v>#DIV/0!</v>
      </c>
      <c r="AW5" s="16" t="e">
        <f>AW8+AW10+AW34</f>
        <v>#DIV/0!</v>
      </c>
      <c r="AX5" s="16" t="e">
        <f>AX8+AX10+AX34</f>
        <v>#DIV/0!</v>
      </c>
      <c r="AY5" s="18">
        <f>AY8+AY10+AY34</f>
        <v>0</v>
      </c>
      <c r="AZ5" s="19">
        <f>AZ8+AZ10+AZ34</f>
        <v>0</v>
      </c>
      <c r="BA5" s="13" t="e">
        <f>AY5/AZ5</f>
        <v>#DIV/0!</v>
      </c>
      <c r="BB5" s="16" t="e">
        <f>BB8+BB10+BB34</f>
        <v>#DIV/0!</v>
      </c>
      <c r="BC5" s="16" t="e">
        <f>BC8+BC10+BC34</f>
        <v>#DIV/0!</v>
      </c>
      <c r="BD5" s="18">
        <f>BD8+BD10+BD34</f>
        <v>0</v>
      </c>
      <c r="BE5" s="19">
        <f>BE8+BE10+BE34</f>
        <v>0</v>
      </c>
      <c r="BF5" s="13" t="e">
        <f>BD5/BE5</f>
        <v>#DIV/0!</v>
      </c>
      <c r="BG5" s="16" t="e">
        <f>BG8+BG10+BG34</f>
        <v>#DIV/0!</v>
      </c>
      <c r="BH5" s="16" t="e">
        <f>BH8+BH10+BH34</f>
        <v>#DIV/0!</v>
      </c>
      <c r="BI5" s="18">
        <f>BI8+BI10+BI34</f>
        <v>0</v>
      </c>
      <c r="BJ5" s="19">
        <f>BJ8+BJ10+BJ34</f>
        <v>0</v>
      </c>
      <c r="BK5" s="13" t="e">
        <f>BI5/BJ5</f>
        <v>#DIV/0!</v>
      </c>
      <c r="BL5" s="16" t="e">
        <f>BL8+BL10+BL34</f>
        <v>#DIV/0!</v>
      </c>
      <c r="BM5" s="16" t="e">
        <f>BM8+BM10+BM34</f>
        <v>#DIV/0!</v>
      </c>
      <c r="BN5" s="18">
        <f>BN8+BN10+BN34</f>
        <v>0</v>
      </c>
      <c r="BO5" s="19">
        <f>BO8+BO10+BO34</f>
        <v>0</v>
      </c>
      <c r="BP5" s="13" t="e">
        <f>BN5/BO5</f>
        <v>#DIV/0!</v>
      </c>
      <c r="BQ5" s="16" t="e">
        <f>BQ8+BQ10+BQ34</f>
        <v>#DIV/0!</v>
      </c>
      <c r="BR5" s="16" t="e">
        <f>BR8+BR10+BR34</f>
        <v>#DIV/0!</v>
      </c>
    </row>
    <row r="6" spans="1:70" s="8" customFormat="1" ht="18" customHeight="1">
      <c r="A6" s="20"/>
      <c r="B6" s="21" t="s">
        <v>37</v>
      </c>
      <c r="C6" s="22"/>
      <c r="D6" s="22"/>
      <c r="E6" s="23"/>
      <c r="F6" s="23"/>
      <c r="G6" s="24"/>
      <c r="H6" s="25"/>
      <c r="I6" s="26" t="s">
        <v>38</v>
      </c>
      <c r="J6" s="27">
        <f>J5/L5*100</f>
        <v>108.68383315668059</v>
      </c>
      <c r="K6" s="23"/>
      <c r="L6" s="28"/>
      <c r="M6" s="24"/>
      <c r="N6" s="29"/>
      <c r="O6" s="29"/>
      <c r="P6" s="27">
        <f>P5/Q5*100</f>
        <v>116.60716817644743</v>
      </c>
      <c r="Q6" s="28"/>
      <c r="R6" s="24"/>
      <c r="S6" s="29"/>
      <c r="T6" s="29"/>
      <c r="U6" s="27">
        <f>U5/V5*100</f>
        <v>115.70378507939678</v>
      </c>
      <c r="V6" s="28"/>
      <c r="W6" s="24"/>
      <c r="X6" s="29"/>
      <c r="Y6" s="29"/>
      <c r="Z6" s="27">
        <f>Z5/AA5*100</f>
        <v>118.66849975170588</v>
      </c>
      <c r="AA6" s="28"/>
      <c r="AB6" s="24"/>
      <c r="AC6" s="29"/>
      <c r="AD6" s="29"/>
      <c r="AE6" s="27">
        <f>AE5/AF5*100</f>
        <v>118.16078772540335</v>
      </c>
      <c r="AF6" s="28"/>
      <c r="AG6" s="24"/>
      <c r="AH6" s="29"/>
      <c r="AI6" s="29"/>
      <c r="AJ6" s="27">
        <f>AJ5/AK5*100</f>
        <v>115.5528588648287</v>
      </c>
      <c r="AK6" s="28"/>
      <c r="AL6" s="24"/>
      <c r="AM6" s="29"/>
      <c r="AN6" s="29"/>
      <c r="AO6" s="27" t="e">
        <f>AO5/AP5*100</f>
        <v>#DIV/0!</v>
      </c>
      <c r="AP6" s="28"/>
      <c r="AQ6" s="24"/>
      <c r="AR6" s="29"/>
      <c r="AS6" s="29"/>
      <c r="AT6" s="27" t="e">
        <f>AT5/AU5*100</f>
        <v>#DIV/0!</v>
      </c>
      <c r="AU6" s="28"/>
      <c r="AV6" s="24"/>
      <c r="AW6" s="29"/>
      <c r="AX6" s="29"/>
      <c r="AY6" s="27" t="e">
        <f>AY5/AZ5*100</f>
        <v>#DIV/0!</v>
      </c>
      <c r="AZ6" s="28"/>
      <c r="BA6" s="24"/>
      <c r="BB6" s="29"/>
      <c r="BC6" s="29"/>
      <c r="BD6" s="27" t="e">
        <f>BD5/BE5*100</f>
        <v>#DIV/0!</v>
      </c>
      <c r="BE6" s="28"/>
      <c r="BF6" s="24"/>
      <c r="BG6" s="29"/>
      <c r="BH6" s="29"/>
      <c r="BI6" s="27" t="e">
        <f>BI5/BJ5*100</f>
        <v>#DIV/0!</v>
      </c>
      <c r="BJ6" s="28"/>
      <c r="BK6" s="24"/>
      <c r="BL6" s="29"/>
      <c r="BM6" s="29"/>
      <c r="BN6" s="27" t="e">
        <f>BN5/BO5*100</f>
        <v>#DIV/0!</v>
      </c>
      <c r="BO6" s="28"/>
      <c r="BP6" s="24"/>
      <c r="BQ6" s="29"/>
      <c r="BR6" s="29"/>
    </row>
    <row r="7" spans="1:70" s="8" customFormat="1" ht="18" customHeight="1">
      <c r="A7" s="20"/>
      <c r="B7" s="21" t="s">
        <v>39</v>
      </c>
      <c r="C7" s="22"/>
      <c r="D7" s="22"/>
      <c r="E7" s="23"/>
      <c r="F7" s="23"/>
      <c r="G7" s="24"/>
      <c r="H7" s="25"/>
      <c r="I7" s="25"/>
      <c r="J7" s="23"/>
      <c r="K7" s="23"/>
      <c r="L7" s="28"/>
      <c r="M7" s="24"/>
      <c r="N7" s="29"/>
      <c r="O7" s="29"/>
      <c r="P7" s="23"/>
      <c r="Q7" s="28"/>
      <c r="R7" s="24"/>
      <c r="S7" s="29"/>
      <c r="T7" s="29"/>
      <c r="U7" s="23"/>
      <c r="V7" s="28"/>
      <c r="W7" s="24"/>
      <c r="X7" s="29"/>
      <c r="Y7" s="29"/>
      <c r="Z7" s="23"/>
      <c r="AA7" s="28"/>
      <c r="AB7" s="24"/>
      <c r="AC7" s="29"/>
      <c r="AD7" s="29"/>
      <c r="AE7" s="23"/>
      <c r="AF7" s="28"/>
      <c r="AG7" s="24"/>
      <c r="AH7" s="29"/>
      <c r="AI7" s="29"/>
      <c r="AJ7" s="23"/>
      <c r="AK7" s="28"/>
      <c r="AL7" s="24"/>
      <c r="AM7" s="29"/>
      <c r="AN7" s="29"/>
      <c r="AO7" s="23"/>
      <c r="AP7" s="28"/>
      <c r="AQ7" s="24"/>
      <c r="AR7" s="29"/>
      <c r="AS7" s="29"/>
      <c r="AT7" s="23"/>
      <c r="AU7" s="28"/>
      <c r="AV7" s="24"/>
      <c r="AW7" s="29"/>
      <c r="AX7" s="29"/>
      <c r="AY7" s="23"/>
      <c r="AZ7" s="28"/>
      <c r="BA7" s="24"/>
      <c r="BB7" s="29"/>
      <c r="BC7" s="29"/>
      <c r="BD7" s="23"/>
      <c r="BE7" s="28"/>
      <c r="BF7" s="24"/>
      <c r="BG7" s="29"/>
      <c r="BH7" s="29"/>
      <c r="BI7" s="23"/>
      <c r="BJ7" s="28"/>
      <c r="BK7" s="24"/>
      <c r="BL7" s="29"/>
      <c r="BM7" s="29"/>
      <c r="BN7" s="23"/>
      <c r="BO7" s="28"/>
      <c r="BP7" s="24"/>
      <c r="BQ7" s="29"/>
      <c r="BR7" s="29"/>
    </row>
    <row r="8" spans="1:70" s="8" customFormat="1" ht="18" customHeight="1">
      <c r="A8" s="20"/>
      <c r="B8" s="30" t="s">
        <v>40</v>
      </c>
      <c r="C8" s="31"/>
      <c r="D8" s="31"/>
      <c r="E8" s="32"/>
      <c r="F8" s="32"/>
      <c r="G8" s="33" t="e">
        <f>E8/F8</f>
        <v>#DIV/0!</v>
      </c>
      <c r="H8" s="34"/>
      <c r="I8" s="34" t="s">
        <v>41</v>
      </c>
      <c r="J8" s="35">
        <v>5391</v>
      </c>
      <c r="K8" s="35"/>
      <c r="L8" s="36">
        <v>8559</v>
      </c>
      <c r="M8" s="33">
        <f>J8/L8</f>
        <v>0.629863301787592</v>
      </c>
      <c r="N8" s="37">
        <f>J8/J5*100</f>
        <v>3.092623825422504</v>
      </c>
      <c r="O8" s="37">
        <f>L8/L5*100</f>
        <v>5.336367603965334</v>
      </c>
      <c r="P8" s="35">
        <v>14346</v>
      </c>
      <c r="Q8" s="36">
        <v>16130</v>
      </c>
      <c r="R8" s="33">
        <f>P8/Q8</f>
        <v>0.8893986360818351</v>
      </c>
      <c r="S8" s="37">
        <f>P8/P5*100</f>
        <v>3.8764381947784545</v>
      </c>
      <c r="T8" s="37">
        <f>Q8/Q5*100</f>
        <v>5.082315872390705</v>
      </c>
      <c r="U8" s="35">
        <v>25843</v>
      </c>
      <c r="V8" s="36">
        <v>27771</v>
      </c>
      <c r="W8" s="33">
        <f>U8/V8</f>
        <v>0.9305750603147168</v>
      </c>
      <c r="X8" s="37">
        <f>U8/U5*100</f>
        <v>4.461297044043288</v>
      </c>
      <c r="Y8" s="37">
        <f>V8/V5*100</f>
        <v>5.546988914411266</v>
      </c>
      <c r="Z8" s="35">
        <v>34699</v>
      </c>
      <c r="AA8" s="36">
        <v>34341</v>
      </c>
      <c r="AB8" s="33">
        <f>Z8/AA8</f>
        <v>1.0104248565854226</v>
      </c>
      <c r="AC8" s="37">
        <f>Z8/Z5*100</f>
        <v>4.481598439790508</v>
      </c>
      <c r="AD8" s="37">
        <f>AA8/AA5*100</f>
        <v>5.263375696602968</v>
      </c>
      <c r="AE8" s="35">
        <v>42361</v>
      </c>
      <c r="AF8" s="36">
        <v>43436</v>
      </c>
      <c r="AG8" s="33">
        <f>AE8/AF8</f>
        <v>0.9752509439174878</v>
      </c>
      <c r="AH8" s="37">
        <f>AE8/AE5*100</f>
        <v>4.430251334482355</v>
      </c>
      <c r="AI8" s="37">
        <f>AF8/AF5*100</f>
        <v>5.367664504903511</v>
      </c>
      <c r="AJ8" s="35">
        <v>47400</v>
      </c>
      <c r="AK8" s="36">
        <v>57110</v>
      </c>
      <c r="AL8" s="33">
        <f>AJ8/AK8</f>
        <v>0.8299772369112239</v>
      </c>
      <c r="AM8" s="37">
        <f>AJ8/AJ5*100</f>
        <v>4.16904877083425</v>
      </c>
      <c r="AN8" s="37">
        <f>AK8/AK5*100</f>
        <v>5.804321887304075</v>
      </c>
      <c r="AO8" s="35"/>
      <c r="AP8" s="36"/>
      <c r="AQ8" s="33" t="e">
        <f>AO8/AP8</f>
        <v>#DIV/0!</v>
      </c>
      <c r="AR8" s="37" t="e">
        <f>AO8/AO5*100</f>
        <v>#DIV/0!</v>
      </c>
      <c r="AS8" s="37" t="e">
        <f>AP8/AP5*100</f>
        <v>#DIV/0!</v>
      </c>
      <c r="AT8" s="35"/>
      <c r="AU8" s="36"/>
      <c r="AV8" s="33" t="e">
        <f>AT8/AU8</f>
        <v>#DIV/0!</v>
      </c>
      <c r="AW8" s="37" t="e">
        <f>AT8/AT5*100</f>
        <v>#DIV/0!</v>
      </c>
      <c r="AX8" s="37" t="e">
        <f>AU8/AU5*100</f>
        <v>#DIV/0!</v>
      </c>
      <c r="AY8" s="35"/>
      <c r="AZ8" s="36"/>
      <c r="BA8" s="33" t="e">
        <f>AY8/AZ8</f>
        <v>#DIV/0!</v>
      </c>
      <c r="BB8" s="37" t="e">
        <f>AY8/AY5*100</f>
        <v>#DIV/0!</v>
      </c>
      <c r="BC8" s="37" t="e">
        <f>AZ8/AZ5*100</f>
        <v>#DIV/0!</v>
      </c>
      <c r="BD8" s="35"/>
      <c r="BE8" s="36"/>
      <c r="BF8" s="33" t="e">
        <f>BD8/BE8</f>
        <v>#DIV/0!</v>
      </c>
      <c r="BG8" s="37" t="e">
        <f>BD8/BD5*100</f>
        <v>#DIV/0!</v>
      </c>
      <c r="BH8" s="37" t="e">
        <f>BE8/BE5*100</f>
        <v>#DIV/0!</v>
      </c>
      <c r="BI8" s="35"/>
      <c r="BJ8" s="36"/>
      <c r="BK8" s="33" t="e">
        <f>BI8/BJ8</f>
        <v>#DIV/0!</v>
      </c>
      <c r="BL8" s="37" t="e">
        <f>BI8/BI5*100</f>
        <v>#DIV/0!</v>
      </c>
      <c r="BM8" s="37" t="e">
        <f>BJ8/BJ5*100</f>
        <v>#DIV/0!</v>
      </c>
      <c r="BN8" s="35"/>
      <c r="BO8" s="36"/>
      <c r="BP8" s="33" t="e">
        <f>BN8/BO8</f>
        <v>#DIV/0!</v>
      </c>
      <c r="BQ8" s="37" t="e">
        <f>BN8/BN5*100</f>
        <v>#DIV/0!</v>
      </c>
      <c r="BR8" s="37" t="e">
        <f>BO8/BO5*100</f>
        <v>#DIV/0!</v>
      </c>
    </row>
    <row r="9" spans="1:70" s="8" customFormat="1" ht="18" customHeight="1">
      <c r="A9" s="20"/>
      <c r="B9" s="21" t="s">
        <v>37</v>
      </c>
      <c r="C9" s="31"/>
      <c r="D9" s="31"/>
      <c r="E9" s="32"/>
      <c r="F9" s="32"/>
      <c r="G9" s="33"/>
      <c r="H9" s="34"/>
      <c r="I9" s="34" t="s">
        <v>42</v>
      </c>
      <c r="J9" s="32">
        <f>J8/L8*100</f>
        <v>62.9863301787592</v>
      </c>
      <c r="K9" s="32"/>
      <c r="L9" s="38"/>
      <c r="M9" s="33"/>
      <c r="N9" s="37"/>
      <c r="O9" s="37"/>
      <c r="P9" s="32">
        <f>P8/Q8*100</f>
        <v>88.93986360818351</v>
      </c>
      <c r="Q9" s="38"/>
      <c r="R9" s="33"/>
      <c r="S9" s="37"/>
      <c r="T9" s="37"/>
      <c r="U9" s="32">
        <f>U8/V8*100</f>
        <v>93.05750603147168</v>
      </c>
      <c r="V9" s="38"/>
      <c r="W9" s="33"/>
      <c r="X9" s="37"/>
      <c r="Y9" s="37"/>
      <c r="Z9" s="32">
        <f>Z8/AA8*100</f>
        <v>101.04248565854226</v>
      </c>
      <c r="AA9" s="38"/>
      <c r="AB9" s="33"/>
      <c r="AC9" s="37"/>
      <c r="AD9" s="37"/>
      <c r="AE9" s="32">
        <f>AE8/AF8*100</f>
        <v>97.52509439174878</v>
      </c>
      <c r="AF9" s="38"/>
      <c r="AG9" s="33"/>
      <c r="AH9" s="37"/>
      <c r="AI9" s="37"/>
      <c r="AJ9" s="32">
        <f>AJ8/AK8*100</f>
        <v>82.99772369112239</v>
      </c>
      <c r="AK9" s="38"/>
      <c r="AL9" s="33"/>
      <c r="AM9" s="37"/>
      <c r="AN9" s="37"/>
      <c r="AO9" s="32" t="e">
        <f>AO8/AP8*100</f>
        <v>#DIV/0!</v>
      </c>
      <c r="AP9" s="38"/>
      <c r="AQ9" s="33"/>
      <c r="AR9" s="37"/>
      <c r="AS9" s="37"/>
      <c r="AT9" s="32" t="e">
        <f>AT8/AU8*100</f>
        <v>#DIV/0!</v>
      </c>
      <c r="AU9" s="38"/>
      <c r="AV9" s="33"/>
      <c r="AW9" s="37"/>
      <c r="AX9" s="37"/>
      <c r="AY9" s="32" t="e">
        <f>AY8/AZ8*100</f>
        <v>#DIV/0!</v>
      </c>
      <c r="AZ9" s="38"/>
      <c r="BA9" s="33"/>
      <c r="BB9" s="37"/>
      <c r="BC9" s="37"/>
      <c r="BD9" s="32" t="e">
        <f>BD8/BE8*100</f>
        <v>#DIV/0!</v>
      </c>
      <c r="BE9" s="38"/>
      <c r="BF9" s="33"/>
      <c r="BG9" s="37"/>
      <c r="BH9" s="37"/>
      <c r="BI9" s="32" t="e">
        <f>BI8/BJ8*100</f>
        <v>#DIV/0!</v>
      </c>
      <c r="BJ9" s="38"/>
      <c r="BK9" s="33"/>
      <c r="BL9" s="37"/>
      <c r="BM9" s="37"/>
      <c r="BN9" s="32" t="e">
        <f>BN8/BO8*100</f>
        <v>#DIV/0!</v>
      </c>
      <c r="BO9" s="38"/>
      <c r="BP9" s="33"/>
      <c r="BQ9" s="37"/>
      <c r="BR9" s="37"/>
    </row>
    <row r="10" spans="1:70" s="8" customFormat="1" ht="18" customHeight="1">
      <c r="A10" s="20"/>
      <c r="B10" s="30" t="s">
        <v>43</v>
      </c>
      <c r="C10" s="31"/>
      <c r="D10" s="31"/>
      <c r="E10" s="32"/>
      <c r="F10" s="32"/>
      <c r="G10" s="33"/>
      <c r="H10" s="34"/>
      <c r="I10" s="34" t="s">
        <v>44</v>
      </c>
      <c r="J10" s="35">
        <f>J18+J20+J22+J24+J26+J28+J30+J32</f>
        <v>109778</v>
      </c>
      <c r="K10" s="35">
        <f>K18+K20+K22+K24+K26+K28+K30+K32</f>
        <v>0</v>
      </c>
      <c r="L10" s="35">
        <f>L18+L20+L22+L24+L26+L28+L30+L32</f>
        <v>93443</v>
      </c>
      <c r="M10" s="39">
        <f>J10/L10</f>
        <v>1.1748124525111565</v>
      </c>
      <c r="N10" s="37">
        <f>N18+N20+N22+N24+N26+N28+N30+N32</f>
        <v>62.97571105680423</v>
      </c>
      <c r="O10" s="37">
        <f>O18+O20+O22+O24+O26+O28+O30+O32</f>
        <v>58.2598665752229</v>
      </c>
      <c r="P10" s="35">
        <f>P18+P20+P22+P24+P26+P28+P30+P32</f>
        <v>233421</v>
      </c>
      <c r="Q10" s="35">
        <f>Q18+Q20+Q22+Q24+Q26+Q28+Q30+Q32</f>
        <v>178460</v>
      </c>
      <c r="R10" s="39">
        <f>P10/Q10</f>
        <v>1.3079737756359968</v>
      </c>
      <c r="S10" s="37">
        <f>S18+S20+S22+S24+S26+S28+S30+S32</f>
        <v>63.07277846531309</v>
      </c>
      <c r="T10" s="37">
        <f>T18+T20+T22+T24+T26+T28+T30+T32</f>
        <v>56.23001181567547</v>
      </c>
      <c r="U10" s="35">
        <f>SUM(U12,U18,U20,U22,U24,U26,U28,U30,U32)</f>
        <v>373599</v>
      </c>
      <c r="V10" s="35">
        <f>SUM(V12,V18,V20,V22,V24,V26,V28,V30,V32)</f>
        <v>290607</v>
      </c>
      <c r="W10" s="39">
        <f>U10/V10</f>
        <v>1.2855815585997585</v>
      </c>
      <c r="X10" s="37">
        <f>SUM(X12,X18,X20,X22,X24,X26,X28,X30,X32)</f>
        <v>64.4946838353724</v>
      </c>
      <c r="Y10" s="37">
        <f>SUM(Y12,Y18,Y20,Y22,Y24,Y26,Y28,Y30,Y32)</f>
        <v>58.04594027763907</v>
      </c>
      <c r="Z10" s="35">
        <f>SUM(Z12,Z14,Z16,Z18,Z20,Z22,Z24,Z26,Z28,Z30,Z32)</f>
        <v>520958</v>
      </c>
      <c r="AA10" s="35">
        <f>SUM(AA12,AA14,AA16,AA18,AA20,AA22,AA24,AA26,AA28,AA30,AA32)</f>
        <v>395570</v>
      </c>
      <c r="AB10" s="39">
        <f>Z10/AA10</f>
        <v>1.3169805596986628</v>
      </c>
      <c r="AC10" s="37">
        <f>SUM(AC12,AC14,AC16,AC18,AC20,AC22,AC24,AC26,AC28,AC30,AC32)</f>
        <v>67.28506758109407</v>
      </c>
      <c r="AD10" s="37">
        <f>SUM(AD12,AD14,AD16,AD18,AD20,AD22,AD24,AD26,AD28,AD30,AD32)</f>
        <v>60.62821479587771</v>
      </c>
      <c r="AE10" s="35">
        <f>SUM(AE12,AE14,AE16,AE18,AE20,AE22,AE24,AE26,AE28,AE30,AE32)</f>
        <v>657205</v>
      </c>
      <c r="AF10" s="35">
        <f>SUM(AF12,AF14,AF16,AF18,AF20,AF22,AF24,AF26,AF28,AF30,AF32)</f>
        <v>508023</v>
      </c>
      <c r="AG10" s="39">
        <f>AE10/AF10</f>
        <v>1.2936520590603182</v>
      </c>
      <c r="AH10" s="37">
        <f>SUM(AH14,AH16,AH18,AH20,AH22,AH24,AH26,AH28,AH30,AH32)</f>
        <v>68.73263917939794</v>
      </c>
      <c r="AI10" s="37">
        <f>AI18+AI20+AI22+AI24+AI26+AI28+AI30+AI32</f>
        <v>62.77965339291363</v>
      </c>
      <c r="AJ10" s="35">
        <f>SUM(AJ14,AJ16,AJ18,AJ20,AJ22,AJ24,AJ26,AJ28,AJ30,AJ32)</f>
        <v>802926</v>
      </c>
      <c r="AK10" s="35">
        <f>AK18+AK20+AK22+AK24+AK26+AK28+AK30+AK32</f>
        <v>634676</v>
      </c>
      <c r="AL10" s="39">
        <f>AJ10/AK10</f>
        <v>1.2650958914469745</v>
      </c>
      <c r="AM10" s="37">
        <f>AM18+AM20+AM22+AM24+AM26+AM28+AM30+AM32</f>
        <v>70.54584634328685</v>
      </c>
      <c r="AN10" s="37">
        <f>AN18+AN20+AN22+AN24+AN26+AN28+AN30+AN32</f>
        <v>64.50470667390302</v>
      </c>
      <c r="AO10" s="35">
        <f>AO18+AO20+AO22+AO24+AO26+AO28+AO30+AO32</f>
        <v>0</v>
      </c>
      <c r="AP10" s="35">
        <f>AP18+AP20+AP22+AP24+AP26+AP28+AP30+AP32</f>
        <v>0</v>
      </c>
      <c r="AQ10" s="39" t="e">
        <f>AO10/AP10</f>
        <v>#DIV/0!</v>
      </c>
      <c r="AR10" s="37" t="e">
        <f>AR18+AR20+AR22+AR24+AR26+AR28+AR30+AR32</f>
        <v>#DIV/0!</v>
      </c>
      <c r="AS10" s="37" t="e">
        <f>AS18+AS20+AS22+AS24+AS26+AS28+AS30+AS32</f>
        <v>#DIV/0!</v>
      </c>
      <c r="AT10" s="35">
        <f>AT18+AT20+AT22+AT24+AT26+AT28+AT30+AT32</f>
        <v>0</v>
      </c>
      <c r="AU10" s="35">
        <f>AU18+AU20+AU22+AU24+AU26+AU28+AU30+AU32</f>
        <v>0</v>
      </c>
      <c r="AV10" s="39" t="e">
        <f>AT10/AU10</f>
        <v>#DIV/0!</v>
      </c>
      <c r="AW10" s="37" t="e">
        <f>AW18+AW20+AW22+AW24+AW26+AW28+AW30+AW32</f>
        <v>#DIV/0!</v>
      </c>
      <c r="AX10" s="37" t="e">
        <f>AX18+AX20+AX22+AX24+AX26+AX28+AX30+AX32</f>
        <v>#DIV/0!</v>
      </c>
      <c r="AY10" s="35">
        <f>AY18+AY20+AY22+AY24+AY26+AY28+AY30+AY32</f>
        <v>0</v>
      </c>
      <c r="AZ10" s="35">
        <f>AZ18+AZ20+AZ22+AZ24+AZ26+AZ28+AZ30+AZ32</f>
        <v>0</v>
      </c>
      <c r="BA10" s="39" t="e">
        <f>AY10/AZ10</f>
        <v>#DIV/0!</v>
      </c>
      <c r="BB10" s="37" t="e">
        <f>BB18+BB20+BB22+BB24+BB26+BB28+BB30+BB32</f>
        <v>#DIV/0!</v>
      </c>
      <c r="BC10" s="37" t="e">
        <f>BC18+BC20+BC22+BC24+BC26+BC28+BC30+BC32</f>
        <v>#DIV/0!</v>
      </c>
      <c r="BD10" s="35">
        <f>BD18+BD20+BD22+BD24+BD26+BD28+BD30+BD32</f>
        <v>0</v>
      </c>
      <c r="BE10" s="35">
        <f>BE18+BE20+BE22+BE24+BE26+BE28+BE30+BE32</f>
        <v>0</v>
      </c>
      <c r="BF10" s="39" t="e">
        <f>BD10/BE10</f>
        <v>#DIV/0!</v>
      </c>
      <c r="BG10" s="37" t="e">
        <f>BG18+BG20+BG22+BG24+BG26+BG28+BG30+BG32</f>
        <v>#DIV/0!</v>
      </c>
      <c r="BH10" s="37" t="e">
        <f>BH18+BH20+BH22+BH24+BH26+BH28+BH30+BH32</f>
        <v>#DIV/0!</v>
      </c>
      <c r="BI10" s="35">
        <f>BI18+BI20+BI22+BI24+BI26+BI28+BI30+BI32</f>
        <v>0</v>
      </c>
      <c r="BJ10" s="35">
        <f>BJ18+BJ20+BJ22+BJ24+BJ26+BJ28+BJ30+BJ32</f>
        <v>0</v>
      </c>
      <c r="BK10" s="39" t="e">
        <f>BI10/BJ10</f>
        <v>#DIV/0!</v>
      </c>
      <c r="BL10" s="37" t="e">
        <f>BL18+BL20+BL22+BL24+BL26+BL28+BL30+BL32</f>
        <v>#DIV/0!</v>
      </c>
      <c r="BM10" s="37" t="e">
        <f>BM18+BM20+BM22+BM24+BM26+BM28+BM30+BM32</f>
        <v>#DIV/0!</v>
      </c>
      <c r="BN10" s="35">
        <f>BN18+BN20+BN22+BN24+BN26+BN28+BN30+BN32</f>
        <v>0</v>
      </c>
      <c r="BO10" s="35">
        <f>BO18+BO20+BO22+BO24+BO26+BO28+BO30+BO32</f>
        <v>0</v>
      </c>
      <c r="BP10" s="39" t="e">
        <f>BN10/BO10</f>
        <v>#DIV/0!</v>
      </c>
      <c r="BQ10" s="37" t="e">
        <f>BQ18+BQ20+BQ22+BQ24+BQ26+BQ28+BQ30+BQ32</f>
        <v>#DIV/0!</v>
      </c>
      <c r="BR10" s="37" t="e">
        <f>BR18+BR20+BR22+BR24+BR26+BR28+BR30+BR32</f>
        <v>#DIV/0!</v>
      </c>
    </row>
    <row r="11" spans="1:70" s="8" customFormat="1" ht="16.5" customHeight="1">
      <c r="A11" s="20"/>
      <c r="B11" s="21" t="s">
        <v>37</v>
      </c>
      <c r="C11" s="31"/>
      <c r="D11" s="31"/>
      <c r="E11" s="32"/>
      <c r="F11" s="32"/>
      <c r="G11" s="33"/>
      <c r="H11" s="34"/>
      <c r="I11" s="34" t="s">
        <v>45</v>
      </c>
      <c r="J11" s="32">
        <f>J10/L10*100</f>
        <v>117.48124525111565</v>
      </c>
      <c r="K11" s="32"/>
      <c r="L11" s="32"/>
      <c r="M11" s="39"/>
      <c r="N11" s="37"/>
      <c r="O11" s="37"/>
      <c r="P11" s="32">
        <f>P10/Q10*100</f>
        <v>130.7973775635997</v>
      </c>
      <c r="Q11" s="32"/>
      <c r="R11" s="39"/>
      <c r="S11" s="37"/>
      <c r="T11" s="37"/>
      <c r="U11" s="32">
        <f>U10/V10*100</f>
        <v>128.55815585997584</v>
      </c>
      <c r="V11" s="32"/>
      <c r="W11" s="39"/>
      <c r="X11" s="37"/>
      <c r="Y11" s="37"/>
      <c r="Z11" s="32">
        <f>Z10/AA10*100</f>
        <v>131.6980559698663</v>
      </c>
      <c r="AA11" s="32"/>
      <c r="AB11" s="39"/>
      <c r="AC11" s="37"/>
      <c r="AD11" s="37"/>
      <c r="AE11" s="32">
        <f>AE10/AF10*100</f>
        <v>129.36520590603183</v>
      </c>
      <c r="AF11" s="32"/>
      <c r="AG11" s="39"/>
      <c r="AH11" s="37"/>
      <c r="AI11" s="37"/>
      <c r="AJ11" s="32">
        <f>AJ10/AK10*100</f>
        <v>126.50958914469746</v>
      </c>
      <c r="AK11" s="32"/>
      <c r="AL11" s="39"/>
      <c r="AM11" s="37"/>
      <c r="AN11" s="37"/>
      <c r="AO11" s="32" t="e">
        <f>AO10/AP10*100</f>
        <v>#DIV/0!</v>
      </c>
      <c r="AP11" s="32"/>
      <c r="AQ11" s="39"/>
      <c r="AR11" s="37"/>
      <c r="AS11" s="37"/>
      <c r="AT11" s="32" t="e">
        <f>AT10/AU10*100</f>
        <v>#DIV/0!</v>
      </c>
      <c r="AU11" s="32"/>
      <c r="AV11" s="39"/>
      <c r="AW11" s="37"/>
      <c r="AX11" s="37"/>
      <c r="AY11" s="32" t="e">
        <f>AY10/AZ10*100</f>
        <v>#DIV/0!</v>
      </c>
      <c r="AZ11" s="32"/>
      <c r="BA11" s="39"/>
      <c r="BB11" s="37"/>
      <c r="BC11" s="37"/>
      <c r="BD11" s="32" t="e">
        <f>BD10/BE10*100</f>
        <v>#DIV/0!</v>
      </c>
      <c r="BE11" s="32"/>
      <c r="BF11" s="39"/>
      <c r="BG11" s="37"/>
      <c r="BH11" s="37"/>
      <c r="BI11" s="32" t="e">
        <f>BI10/BJ10*100</f>
        <v>#DIV/0!</v>
      </c>
      <c r="BJ11" s="32"/>
      <c r="BK11" s="39"/>
      <c r="BL11" s="37"/>
      <c r="BM11" s="37"/>
      <c r="BN11" s="32" t="e">
        <f>BN10/BO10*100</f>
        <v>#DIV/0!</v>
      </c>
      <c r="BO11" s="32"/>
      <c r="BP11" s="39"/>
      <c r="BQ11" s="37"/>
      <c r="BR11" s="37"/>
    </row>
    <row r="12" spans="1:70" s="8" customFormat="1" ht="31.5" customHeight="1">
      <c r="A12" s="20"/>
      <c r="B12" s="40" t="s">
        <v>46</v>
      </c>
      <c r="C12" s="31"/>
      <c r="D12" s="31"/>
      <c r="E12" s="32"/>
      <c r="F12" s="32"/>
      <c r="G12" s="33"/>
      <c r="H12" s="34"/>
      <c r="I12" s="34"/>
      <c r="J12" s="32"/>
      <c r="K12" s="32"/>
      <c r="L12" s="32"/>
      <c r="M12" s="39"/>
      <c r="N12" s="37"/>
      <c r="O12" s="37"/>
      <c r="P12" s="32"/>
      <c r="Q12" s="32"/>
      <c r="R12" s="39"/>
      <c r="S12" s="37"/>
      <c r="T12" s="37"/>
      <c r="U12" s="32">
        <v>260</v>
      </c>
      <c r="V12" s="32"/>
      <c r="W12" s="39"/>
      <c r="X12" s="41">
        <f>U12/U5*100</f>
        <v>0.04488400075267016</v>
      </c>
      <c r="Y12" s="37"/>
      <c r="Z12" s="32"/>
      <c r="AA12" s="32"/>
      <c r="AB12" s="39"/>
      <c r="AC12" s="37"/>
      <c r="AD12" s="37"/>
      <c r="AE12" s="32"/>
      <c r="AF12" s="32"/>
      <c r="AG12" s="39"/>
      <c r="AH12" s="37"/>
      <c r="AI12" s="37"/>
      <c r="AJ12" s="32"/>
      <c r="AK12" s="32"/>
      <c r="AL12" s="39"/>
      <c r="AM12" s="37"/>
      <c r="AN12" s="37"/>
      <c r="AO12" s="32"/>
      <c r="AP12" s="32"/>
      <c r="AQ12" s="39"/>
      <c r="AR12" s="37"/>
      <c r="AS12" s="37"/>
      <c r="AT12" s="32"/>
      <c r="AU12" s="32"/>
      <c r="AV12" s="39"/>
      <c r="AW12" s="37"/>
      <c r="AX12" s="37"/>
      <c r="AY12" s="32"/>
      <c r="AZ12" s="32"/>
      <c r="BA12" s="39"/>
      <c r="BB12" s="37"/>
      <c r="BC12" s="37"/>
      <c r="BD12" s="32"/>
      <c r="BE12" s="32"/>
      <c r="BF12" s="39"/>
      <c r="BG12" s="37"/>
      <c r="BH12" s="37"/>
      <c r="BI12" s="32"/>
      <c r="BJ12" s="32"/>
      <c r="BK12" s="39"/>
      <c r="BL12" s="37"/>
      <c r="BM12" s="37"/>
      <c r="BN12" s="32"/>
      <c r="BO12" s="32"/>
      <c r="BP12" s="39"/>
      <c r="BQ12" s="37"/>
      <c r="BR12" s="37"/>
    </row>
    <row r="13" spans="1:70" s="8" customFormat="1" ht="16.5" customHeight="1">
      <c r="A13" s="20"/>
      <c r="B13" s="21" t="s">
        <v>37</v>
      </c>
      <c r="C13" s="31"/>
      <c r="D13" s="31"/>
      <c r="E13" s="32"/>
      <c r="F13" s="32"/>
      <c r="G13" s="33"/>
      <c r="H13" s="34"/>
      <c r="I13" s="34"/>
      <c r="J13" s="32"/>
      <c r="K13" s="32"/>
      <c r="L13" s="32"/>
      <c r="M13" s="39"/>
      <c r="N13" s="37"/>
      <c r="O13" s="37"/>
      <c r="P13" s="32"/>
      <c r="Q13" s="32"/>
      <c r="R13" s="39"/>
      <c r="S13" s="37"/>
      <c r="T13" s="37"/>
      <c r="U13" s="32"/>
      <c r="V13" s="32"/>
      <c r="W13" s="39"/>
      <c r="X13" s="37"/>
      <c r="Y13" s="37"/>
      <c r="Z13" s="32" t="e">
        <f>Z12/AA12*100</f>
        <v>#DIV/0!</v>
      </c>
      <c r="AA13" s="32"/>
      <c r="AB13" s="39"/>
      <c r="AC13" s="37"/>
      <c r="AD13" s="37"/>
      <c r="AE13" s="32"/>
      <c r="AF13" s="32"/>
      <c r="AG13" s="39"/>
      <c r="AH13" s="37"/>
      <c r="AI13" s="37"/>
      <c r="AJ13" s="32"/>
      <c r="AK13" s="32"/>
      <c r="AL13" s="39"/>
      <c r="AM13" s="37"/>
      <c r="AN13" s="37"/>
      <c r="AO13" s="32"/>
      <c r="AP13" s="32"/>
      <c r="AQ13" s="39"/>
      <c r="AR13" s="37"/>
      <c r="AS13" s="37"/>
      <c r="AT13" s="32"/>
      <c r="AU13" s="32"/>
      <c r="AV13" s="39"/>
      <c r="AW13" s="37"/>
      <c r="AX13" s="37"/>
      <c r="AY13" s="32"/>
      <c r="AZ13" s="32"/>
      <c r="BA13" s="39"/>
      <c r="BB13" s="37"/>
      <c r="BC13" s="37"/>
      <c r="BD13" s="32"/>
      <c r="BE13" s="32"/>
      <c r="BF13" s="39"/>
      <c r="BG13" s="37"/>
      <c r="BH13" s="37"/>
      <c r="BI13" s="32"/>
      <c r="BJ13" s="32"/>
      <c r="BK13" s="39"/>
      <c r="BL13" s="37"/>
      <c r="BM13" s="37"/>
      <c r="BN13" s="32"/>
      <c r="BO13" s="32"/>
      <c r="BP13" s="39"/>
      <c r="BQ13" s="37"/>
      <c r="BR13" s="37"/>
    </row>
    <row r="14" spans="1:70" s="8" customFormat="1" ht="42" customHeight="1">
      <c r="A14" s="20"/>
      <c r="B14" s="40" t="s">
        <v>47</v>
      </c>
      <c r="C14" s="31"/>
      <c r="D14" s="31"/>
      <c r="E14" s="32"/>
      <c r="F14" s="32"/>
      <c r="G14" s="33"/>
      <c r="H14" s="34"/>
      <c r="I14" s="34"/>
      <c r="J14" s="32"/>
      <c r="K14" s="32"/>
      <c r="L14" s="32"/>
      <c r="M14" s="39"/>
      <c r="N14" s="37"/>
      <c r="O14" s="37"/>
      <c r="P14" s="32"/>
      <c r="Q14" s="32"/>
      <c r="R14" s="39"/>
      <c r="S14" s="37"/>
      <c r="T14" s="37"/>
      <c r="U14" s="32"/>
      <c r="V14" s="32"/>
      <c r="W14" s="39"/>
      <c r="X14" s="37"/>
      <c r="Y14" s="37"/>
      <c r="Z14" s="32">
        <v>142</v>
      </c>
      <c r="AA14" s="32"/>
      <c r="AB14" s="39"/>
      <c r="AC14" s="41">
        <f>Z14/Z5*100</f>
        <v>0.018340210912425492</v>
      </c>
      <c r="AD14" s="37"/>
      <c r="AE14" s="32">
        <v>281</v>
      </c>
      <c r="AF14" s="32"/>
      <c r="AG14" s="39"/>
      <c r="AH14" s="41">
        <f>AE14/AE5*100</f>
        <v>0.02938789511554358</v>
      </c>
      <c r="AI14" s="37"/>
      <c r="AJ14" s="32">
        <v>529</v>
      </c>
      <c r="AK14" s="32"/>
      <c r="AL14" s="39"/>
      <c r="AM14" s="37"/>
      <c r="AN14" s="37"/>
      <c r="AO14" s="32"/>
      <c r="AP14" s="32"/>
      <c r="AQ14" s="39"/>
      <c r="AR14" s="37"/>
      <c r="AS14" s="37"/>
      <c r="AT14" s="32"/>
      <c r="AU14" s="32"/>
      <c r="AV14" s="39"/>
      <c r="AW14" s="37"/>
      <c r="AX14" s="37"/>
      <c r="AY14" s="32"/>
      <c r="AZ14" s="32"/>
      <c r="BA14" s="39"/>
      <c r="BB14" s="37"/>
      <c r="BC14" s="37"/>
      <c r="BD14" s="32"/>
      <c r="BE14" s="32"/>
      <c r="BF14" s="39"/>
      <c r="BG14" s="37"/>
      <c r="BH14" s="37"/>
      <c r="BI14" s="32"/>
      <c r="BJ14" s="32"/>
      <c r="BK14" s="39"/>
      <c r="BL14" s="37"/>
      <c r="BM14" s="37"/>
      <c r="BN14" s="32"/>
      <c r="BO14" s="32"/>
      <c r="BP14" s="39"/>
      <c r="BQ14" s="37"/>
      <c r="BR14" s="37"/>
    </row>
    <row r="15" spans="1:70" s="8" customFormat="1" ht="16.5" customHeight="1">
      <c r="A15" s="20"/>
      <c r="B15" s="21" t="s">
        <v>37</v>
      </c>
      <c r="C15" s="31"/>
      <c r="D15" s="31"/>
      <c r="E15" s="32"/>
      <c r="F15" s="32"/>
      <c r="G15" s="33"/>
      <c r="H15" s="34"/>
      <c r="I15" s="34"/>
      <c r="J15" s="32"/>
      <c r="K15" s="32"/>
      <c r="L15" s="32"/>
      <c r="M15" s="39"/>
      <c r="N15" s="37"/>
      <c r="O15" s="37"/>
      <c r="P15" s="32"/>
      <c r="Q15" s="32"/>
      <c r="R15" s="39"/>
      <c r="S15" s="37"/>
      <c r="T15" s="37"/>
      <c r="U15" s="32"/>
      <c r="V15" s="32"/>
      <c r="W15" s="39"/>
      <c r="X15" s="37"/>
      <c r="Y15" s="37"/>
      <c r="Z15" s="32" t="e">
        <f>Z14/AA14*100</f>
        <v>#DIV/0!</v>
      </c>
      <c r="AA15" s="32"/>
      <c r="AB15" s="39"/>
      <c r="AC15" s="41"/>
      <c r="AD15" s="37"/>
      <c r="AE15" s="32"/>
      <c r="AF15" s="32"/>
      <c r="AG15" s="39"/>
      <c r="AH15" s="37"/>
      <c r="AI15" s="37"/>
      <c r="AJ15" s="32"/>
      <c r="AK15" s="32"/>
      <c r="AL15" s="39"/>
      <c r="AM15" s="37"/>
      <c r="AN15" s="37"/>
      <c r="AO15" s="32"/>
      <c r="AP15" s="32"/>
      <c r="AQ15" s="39"/>
      <c r="AR15" s="37"/>
      <c r="AS15" s="37"/>
      <c r="AT15" s="32"/>
      <c r="AU15" s="32"/>
      <c r="AV15" s="39"/>
      <c r="AW15" s="37"/>
      <c r="AX15" s="37"/>
      <c r="AY15" s="32"/>
      <c r="AZ15" s="32"/>
      <c r="BA15" s="39"/>
      <c r="BB15" s="37"/>
      <c r="BC15" s="37"/>
      <c r="BD15" s="32"/>
      <c r="BE15" s="32"/>
      <c r="BF15" s="39"/>
      <c r="BG15" s="37"/>
      <c r="BH15" s="37"/>
      <c r="BI15" s="32"/>
      <c r="BJ15" s="32"/>
      <c r="BK15" s="39"/>
      <c r="BL15" s="37"/>
      <c r="BM15" s="37"/>
      <c r="BN15" s="32"/>
      <c r="BO15" s="32"/>
      <c r="BP15" s="39"/>
      <c r="BQ15" s="37"/>
      <c r="BR15" s="37"/>
    </row>
    <row r="16" spans="1:70" s="8" customFormat="1" ht="44.25" customHeight="1">
      <c r="A16" s="20"/>
      <c r="B16" s="40" t="s">
        <v>48</v>
      </c>
      <c r="C16" s="31"/>
      <c r="D16" s="31"/>
      <c r="E16" s="32"/>
      <c r="F16" s="32"/>
      <c r="G16" s="33"/>
      <c r="H16" s="34"/>
      <c r="I16" s="34"/>
      <c r="J16" s="32"/>
      <c r="K16" s="32"/>
      <c r="L16" s="32"/>
      <c r="M16" s="39"/>
      <c r="N16" s="37"/>
      <c r="O16" s="37"/>
      <c r="P16" s="32"/>
      <c r="Q16" s="32"/>
      <c r="R16" s="39"/>
      <c r="S16" s="37"/>
      <c r="T16" s="37"/>
      <c r="U16" s="32"/>
      <c r="V16" s="32"/>
      <c r="W16" s="39"/>
      <c r="X16" s="37"/>
      <c r="Y16" s="37"/>
      <c r="Z16" s="32">
        <v>310</v>
      </c>
      <c r="AA16" s="32"/>
      <c r="AB16" s="39"/>
      <c r="AC16" s="41">
        <f>Z16/Z5*100</f>
        <v>0.040038488611633116</v>
      </c>
      <c r="AD16" s="37"/>
      <c r="AE16" s="32">
        <v>315</v>
      </c>
      <c r="AF16" s="32"/>
      <c r="AG16" s="39"/>
      <c r="AH16" s="41">
        <f>AE16/AE5*100</f>
        <v>0.032943725841267715</v>
      </c>
      <c r="AI16" s="37"/>
      <c r="AJ16" s="32">
        <v>326</v>
      </c>
      <c r="AK16" s="32"/>
      <c r="AL16" s="39"/>
      <c r="AM16" s="37"/>
      <c r="AN16" s="37"/>
      <c r="AO16" s="32"/>
      <c r="AP16" s="32"/>
      <c r="AQ16" s="39"/>
      <c r="AR16" s="37"/>
      <c r="AS16" s="37"/>
      <c r="AT16" s="32"/>
      <c r="AU16" s="32"/>
      <c r="AV16" s="39"/>
      <c r="AW16" s="37"/>
      <c r="AX16" s="37"/>
      <c r="AY16" s="32"/>
      <c r="AZ16" s="32"/>
      <c r="BA16" s="39"/>
      <c r="BB16" s="37"/>
      <c r="BC16" s="37"/>
      <c r="BD16" s="32"/>
      <c r="BE16" s="32"/>
      <c r="BF16" s="39"/>
      <c r="BG16" s="37"/>
      <c r="BH16" s="37"/>
      <c r="BI16" s="32"/>
      <c r="BJ16" s="32"/>
      <c r="BK16" s="39"/>
      <c r="BL16" s="37"/>
      <c r="BM16" s="37"/>
      <c r="BN16" s="32"/>
      <c r="BO16" s="32"/>
      <c r="BP16" s="39"/>
      <c r="BQ16" s="37"/>
      <c r="BR16" s="37"/>
    </row>
    <row r="17" spans="1:70" s="8" customFormat="1" ht="19.5" customHeight="1">
      <c r="A17" s="20"/>
      <c r="B17" s="21" t="s">
        <v>37</v>
      </c>
      <c r="C17" s="31"/>
      <c r="D17" s="31"/>
      <c r="E17" s="32"/>
      <c r="F17" s="32"/>
      <c r="G17" s="33"/>
      <c r="H17" s="34"/>
      <c r="I17" s="34"/>
      <c r="J17" s="32"/>
      <c r="K17" s="32"/>
      <c r="L17" s="32"/>
      <c r="M17" s="39"/>
      <c r="N17" s="37"/>
      <c r="O17" s="37"/>
      <c r="P17" s="32"/>
      <c r="Q17" s="32"/>
      <c r="R17" s="39"/>
      <c r="S17" s="37"/>
      <c r="T17" s="37"/>
      <c r="U17" s="32"/>
      <c r="V17" s="32"/>
      <c r="W17" s="39"/>
      <c r="X17" s="37"/>
      <c r="Y17" s="37"/>
      <c r="Z17" s="32"/>
      <c r="AA17" s="32"/>
      <c r="AB17" s="39"/>
      <c r="AC17" s="37"/>
      <c r="AD17" s="37"/>
      <c r="AE17" s="32"/>
      <c r="AF17" s="32"/>
      <c r="AG17" s="39"/>
      <c r="AH17" s="37"/>
      <c r="AI17" s="37"/>
      <c r="AJ17" s="32"/>
      <c r="AK17" s="32"/>
      <c r="AL17" s="39"/>
      <c r="AM17" s="37"/>
      <c r="AN17" s="37"/>
      <c r="AO17" s="32"/>
      <c r="AP17" s="32"/>
      <c r="AQ17" s="39"/>
      <c r="AR17" s="37"/>
      <c r="AS17" s="37"/>
      <c r="AT17" s="32"/>
      <c r="AU17" s="32"/>
      <c r="AV17" s="39"/>
      <c r="AW17" s="37"/>
      <c r="AX17" s="37"/>
      <c r="AY17" s="32"/>
      <c r="AZ17" s="32"/>
      <c r="BA17" s="39"/>
      <c r="BB17" s="37"/>
      <c r="BC17" s="37"/>
      <c r="BD17" s="32"/>
      <c r="BE17" s="32"/>
      <c r="BF17" s="39"/>
      <c r="BG17" s="37"/>
      <c r="BH17" s="37"/>
      <c r="BI17" s="32"/>
      <c r="BJ17" s="32"/>
      <c r="BK17" s="39"/>
      <c r="BL17" s="37"/>
      <c r="BM17" s="37"/>
      <c r="BN17" s="32"/>
      <c r="BO17" s="32"/>
      <c r="BP17" s="39"/>
      <c r="BQ17" s="37"/>
      <c r="BR17" s="37"/>
    </row>
    <row r="18" spans="1:70" s="8" customFormat="1" ht="18" customHeight="1">
      <c r="A18" s="42"/>
      <c r="B18" s="43" t="s">
        <v>49</v>
      </c>
      <c r="C18" s="31"/>
      <c r="D18" s="31"/>
      <c r="E18" s="27"/>
      <c r="F18" s="27"/>
      <c r="G18" s="39" t="e">
        <f>E18/F18</f>
        <v>#DIV/0!</v>
      </c>
      <c r="H18" s="26"/>
      <c r="I18" s="26" t="s">
        <v>50</v>
      </c>
      <c r="J18" s="44">
        <v>38079</v>
      </c>
      <c r="K18" s="44"/>
      <c r="L18" s="45">
        <v>27085</v>
      </c>
      <c r="M18" s="39">
        <f>J18/L18</f>
        <v>1.4059073287797674</v>
      </c>
      <c r="N18" s="46">
        <f>J18/J5*100</f>
        <v>21.844559942174648</v>
      </c>
      <c r="O18" s="46">
        <f>L18/L5*100</f>
        <v>16.886963027620176</v>
      </c>
      <c r="P18" s="44">
        <v>78730</v>
      </c>
      <c r="Q18" s="45">
        <v>56055</v>
      </c>
      <c r="R18" s="39">
        <f>P18/Q18</f>
        <v>1.4045134243154045</v>
      </c>
      <c r="S18" s="46">
        <f>P18/P5*100</f>
        <v>21.273663674536994</v>
      </c>
      <c r="T18" s="46">
        <f>Q18/Q5*100</f>
        <v>17.662071681764473</v>
      </c>
      <c r="U18" s="44">
        <f>49134+73701</f>
        <v>122835</v>
      </c>
      <c r="V18" s="45">
        <f>35063+52595</f>
        <v>87658</v>
      </c>
      <c r="W18" s="39">
        <f>U18/V18</f>
        <v>1.4012982272011683</v>
      </c>
      <c r="X18" s="46">
        <f>U18/U5*100</f>
        <v>21.20510089405477</v>
      </c>
      <c r="Y18" s="46">
        <f>V18/V5*100</f>
        <v>17.508838509937082</v>
      </c>
      <c r="Z18" s="44">
        <f>66864+100297</f>
        <v>167161</v>
      </c>
      <c r="AA18" s="45">
        <f>47022+70534</f>
        <v>117556</v>
      </c>
      <c r="AB18" s="39">
        <f>Z18/AA18</f>
        <v>1.421969104086563</v>
      </c>
      <c r="AC18" s="46">
        <f>Z18/Z5*100</f>
        <v>21.589915467126463</v>
      </c>
      <c r="AD18" s="46">
        <f>AA18/AA5*100</f>
        <v>18.017570641211922</v>
      </c>
      <c r="AE18" s="44">
        <f>78424+117387</f>
        <v>195811</v>
      </c>
      <c r="AF18" s="45">
        <f>59270+88905</f>
        <v>148175</v>
      </c>
      <c r="AG18" s="39">
        <f>AE18/AF18</f>
        <v>1.3214847308925257</v>
      </c>
      <c r="AH18" s="46">
        <f>AE18/AE5*100</f>
        <v>20.478552065728486</v>
      </c>
      <c r="AI18" s="46">
        <f>AF18/AF5*100</f>
        <v>18.310933051249602</v>
      </c>
      <c r="AJ18" s="44">
        <f>96048+143823</f>
        <v>239871</v>
      </c>
      <c r="AK18" s="45">
        <f>71035+106553</f>
        <v>177588</v>
      </c>
      <c r="AL18" s="39">
        <f>AJ18/AK18</f>
        <v>1.3507162646124737</v>
      </c>
      <c r="AM18" s="46">
        <f>AJ18/AJ5*100</f>
        <v>21.0977615550376</v>
      </c>
      <c r="AN18" s="46">
        <f>AK18/AK5*100</f>
        <v>18.04899168836554</v>
      </c>
      <c r="AO18" s="44"/>
      <c r="AP18" s="45"/>
      <c r="AQ18" s="39" t="e">
        <f>AO18/AP18</f>
        <v>#DIV/0!</v>
      </c>
      <c r="AR18" s="46" t="e">
        <f>AO18/AO5*100</f>
        <v>#DIV/0!</v>
      </c>
      <c r="AS18" s="46" t="e">
        <f>AP18/AP5*100</f>
        <v>#DIV/0!</v>
      </c>
      <c r="AT18" s="44"/>
      <c r="AU18" s="45"/>
      <c r="AV18" s="39" t="e">
        <f>AT18/AU18</f>
        <v>#DIV/0!</v>
      </c>
      <c r="AW18" s="46" t="e">
        <f>AT18/AT5*100</f>
        <v>#DIV/0!</v>
      </c>
      <c r="AX18" s="46" t="e">
        <f>AU18/AU5*100</f>
        <v>#DIV/0!</v>
      </c>
      <c r="AY18" s="44"/>
      <c r="AZ18" s="45"/>
      <c r="BA18" s="39" t="e">
        <f>AY18/AZ18</f>
        <v>#DIV/0!</v>
      </c>
      <c r="BB18" s="46" t="e">
        <f>AY18/AY5*100</f>
        <v>#DIV/0!</v>
      </c>
      <c r="BC18" s="46" t="e">
        <f>AZ18/AZ5*100</f>
        <v>#DIV/0!</v>
      </c>
      <c r="BD18" s="44"/>
      <c r="BE18" s="45"/>
      <c r="BF18" s="39" t="e">
        <f>BD18/BE18</f>
        <v>#DIV/0!</v>
      </c>
      <c r="BG18" s="46" t="e">
        <f>BD18/BD5*100</f>
        <v>#DIV/0!</v>
      </c>
      <c r="BH18" s="46" t="e">
        <f>BE18/BE5*100</f>
        <v>#DIV/0!</v>
      </c>
      <c r="BI18" s="44"/>
      <c r="BJ18" s="45"/>
      <c r="BK18" s="39" t="e">
        <f>BI18/BJ18</f>
        <v>#DIV/0!</v>
      </c>
      <c r="BL18" s="46" t="e">
        <f>BI18/BI5*100</f>
        <v>#DIV/0!</v>
      </c>
      <c r="BM18" s="46" t="e">
        <f>BJ18/BJ5*100</f>
        <v>#DIV/0!</v>
      </c>
      <c r="BN18" s="44"/>
      <c r="BO18" s="45"/>
      <c r="BP18" s="39" t="e">
        <f>BN18/BO18</f>
        <v>#DIV/0!</v>
      </c>
      <c r="BQ18" s="46" t="e">
        <f>BN18/BN5*100</f>
        <v>#DIV/0!</v>
      </c>
      <c r="BR18" s="46" t="e">
        <f>BO18/BO5*100</f>
        <v>#DIV/0!</v>
      </c>
    </row>
    <row r="19" spans="1:70" s="8" customFormat="1" ht="21" customHeight="1">
      <c r="A19" s="42"/>
      <c r="B19" s="21" t="s">
        <v>37</v>
      </c>
      <c r="C19" s="31"/>
      <c r="D19" s="31"/>
      <c r="E19" s="27"/>
      <c r="F19" s="27"/>
      <c r="G19" s="39"/>
      <c r="H19" s="26"/>
      <c r="I19" s="26" t="s">
        <v>42</v>
      </c>
      <c r="J19" s="27">
        <f>J18/L18*100</f>
        <v>140.59073287797673</v>
      </c>
      <c r="K19" s="27"/>
      <c r="L19" s="47"/>
      <c r="M19" s="39"/>
      <c r="N19" s="46"/>
      <c r="O19" s="46"/>
      <c r="P19" s="27">
        <f>P18/Q18*100</f>
        <v>140.45134243154044</v>
      </c>
      <c r="Q19" s="47"/>
      <c r="R19" s="39"/>
      <c r="S19" s="46"/>
      <c r="T19" s="46"/>
      <c r="U19" s="27">
        <f>U18/V18*100</f>
        <v>140.12982272011683</v>
      </c>
      <c r="V19" s="47"/>
      <c r="W19" s="39"/>
      <c r="X19" s="46"/>
      <c r="Y19" s="46"/>
      <c r="Z19" s="27">
        <f>Z18/AA18*100</f>
        <v>142.1969104086563</v>
      </c>
      <c r="AA19" s="47"/>
      <c r="AB19" s="39"/>
      <c r="AC19" s="46"/>
      <c r="AD19" s="46"/>
      <c r="AE19" s="27">
        <f>AE18/AF18*100</f>
        <v>132.14847308925258</v>
      </c>
      <c r="AF19" s="47"/>
      <c r="AG19" s="39"/>
      <c r="AH19" s="46"/>
      <c r="AI19" s="46"/>
      <c r="AJ19" s="27">
        <f>AJ18/AK18*100</f>
        <v>135.07162646124738</v>
      </c>
      <c r="AK19" s="47"/>
      <c r="AL19" s="39"/>
      <c r="AM19" s="46"/>
      <c r="AN19" s="46"/>
      <c r="AO19" s="27" t="e">
        <f>AO18/AP18*100</f>
        <v>#DIV/0!</v>
      </c>
      <c r="AP19" s="47"/>
      <c r="AQ19" s="39"/>
      <c r="AR19" s="46"/>
      <c r="AS19" s="46"/>
      <c r="AT19" s="27" t="e">
        <f>AT18/AU18*100</f>
        <v>#DIV/0!</v>
      </c>
      <c r="AU19" s="47"/>
      <c r="AV19" s="39"/>
      <c r="AW19" s="46"/>
      <c r="AX19" s="46"/>
      <c r="AY19" s="27" t="e">
        <f>AY18/AZ18*100</f>
        <v>#DIV/0!</v>
      </c>
      <c r="AZ19" s="47"/>
      <c r="BA19" s="39"/>
      <c r="BB19" s="46"/>
      <c r="BC19" s="46"/>
      <c r="BD19" s="27" t="e">
        <f>BD18/BE18*100</f>
        <v>#DIV/0!</v>
      </c>
      <c r="BE19" s="47"/>
      <c r="BF19" s="39"/>
      <c r="BG19" s="46"/>
      <c r="BH19" s="46"/>
      <c r="BI19" s="27" t="e">
        <f>BI18/BJ18*100</f>
        <v>#DIV/0!</v>
      </c>
      <c r="BJ19" s="47"/>
      <c r="BK19" s="39"/>
      <c r="BL19" s="46"/>
      <c r="BM19" s="46"/>
      <c r="BN19" s="27" t="e">
        <f>BN18/BO18*100</f>
        <v>#DIV/0!</v>
      </c>
      <c r="BO19" s="47"/>
      <c r="BP19" s="39"/>
      <c r="BQ19" s="46"/>
      <c r="BR19" s="46"/>
    </row>
    <row r="20" spans="1:70" s="8" customFormat="1" ht="33.75" customHeight="1">
      <c r="A20" s="42"/>
      <c r="B20" s="43" t="s">
        <v>51</v>
      </c>
      <c r="C20" s="31"/>
      <c r="D20" s="31"/>
      <c r="E20" s="27"/>
      <c r="F20" s="27"/>
      <c r="G20" s="39"/>
      <c r="H20" s="26"/>
      <c r="I20" s="26"/>
      <c r="J20" s="27">
        <v>180</v>
      </c>
      <c r="K20" s="27"/>
      <c r="L20" s="47">
        <v>76</v>
      </c>
      <c r="M20" s="39">
        <f>J20/L20</f>
        <v>2.3684210526315788</v>
      </c>
      <c r="N20" s="46">
        <f>J20/J5*100</f>
        <v>0.10325956011427392</v>
      </c>
      <c r="O20" s="46">
        <f>L20/L5*100</f>
        <v>0.04738450028056612</v>
      </c>
      <c r="P20" s="27">
        <v>268</v>
      </c>
      <c r="Q20" s="47">
        <v>231</v>
      </c>
      <c r="R20" s="39">
        <f>P20/Q20</f>
        <v>1.1601731601731602</v>
      </c>
      <c r="S20" s="46">
        <f>P20/P5*100</f>
        <v>0.07241638339611221</v>
      </c>
      <c r="T20" s="46">
        <f>Q20/Q5*100</f>
        <v>0.07278456085072862</v>
      </c>
      <c r="U20" s="27">
        <v>431</v>
      </c>
      <c r="V20" s="47">
        <v>341</v>
      </c>
      <c r="W20" s="39">
        <f>U20/V20</f>
        <v>1.2639296187683284</v>
      </c>
      <c r="X20" s="46">
        <f>U20/U5*100</f>
        <v>0.07440386278615709</v>
      </c>
      <c r="Y20" s="46">
        <f>V20/V5*100</f>
        <v>0.06811145510835913</v>
      </c>
      <c r="Z20" s="27">
        <v>597</v>
      </c>
      <c r="AA20" s="47">
        <v>462</v>
      </c>
      <c r="AB20" s="39">
        <f>Z20/AA20</f>
        <v>1.2922077922077921</v>
      </c>
      <c r="AC20" s="46">
        <f>Z20/Z5*100</f>
        <v>0.07710637968111281</v>
      </c>
      <c r="AD20" s="46">
        <f>AA20/AA5*100</f>
        <v>0.0708098066984238</v>
      </c>
      <c r="AE20" s="27">
        <v>695</v>
      </c>
      <c r="AF20" s="47">
        <v>564</v>
      </c>
      <c r="AG20" s="39">
        <f>AE20/AF20</f>
        <v>1.2322695035460993</v>
      </c>
      <c r="AH20" s="46">
        <f>AE20/AE5*100</f>
        <v>0.07268536336406686</v>
      </c>
      <c r="AI20" s="46">
        <f>AF20/AF5*100</f>
        <v>0.06969708952863019</v>
      </c>
      <c r="AJ20" s="27">
        <v>836</v>
      </c>
      <c r="AK20" s="47">
        <v>665</v>
      </c>
      <c r="AL20" s="39">
        <f>AJ20/AK20</f>
        <v>1.2571428571428571</v>
      </c>
      <c r="AM20" s="46">
        <f>AJ20/AJ5*100</f>
        <v>0.07353005848981925</v>
      </c>
      <c r="AN20" s="46">
        <f>AK20/AK5*100</f>
        <v>0.06758665829201908</v>
      </c>
      <c r="AO20" s="27"/>
      <c r="AP20" s="47"/>
      <c r="AQ20" s="39" t="e">
        <f>AO20/AP20</f>
        <v>#DIV/0!</v>
      </c>
      <c r="AR20" s="46" t="e">
        <f>AO20/AO5*100</f>
        <v>#DIV/0!</v>
      </c>
      <c r="AS20" s="46" t="e">
        <f>AP20/AP5*100</f>
        <v>#DIV/0!</v>
      </c>
      <c r="AT20" s="27"/>
      <c r="AU20" s="47"/>
      <c r="AV20" s="39" t="e">
        <f>AT20/AU20</f>
        <v>#DIV/0!</v>
      </c>
      <c r="AW20" s="46" t="e">
        <f>AT20/AT5*100</f>
        <v>#DIV/0!</v>
      </c>
      <c r="AX20" s="46" t="e">
        <f>AU20/AU5*100</f>
        <v>#DIV/0!</v>
      </c>
      <c r="AY20" s="27"/>
      <c r="AZ20" s="47"/>
      <c r="BA20" s="39" t="e">
        <f>AY20/AZ20</f>
        <v>#DIV/0!</v>
      </c>
      <c r="BB20" s="46" t="e">
        <f>AY20/AY5*100</f>
        <v>#DIV/0!</v>
      </c>
      <c r="BC20" s="46" t="e">
        <f>AZ20/AZ5*100</f>
        <v>#DIV/0!</v>
      </c>
      <c r="BD20" s="27"/>
      <c r="BE20" s="47"/>
      <c r="BF20" s="39" t="e">
        <f>BD20/BE20</f>
        <v>#DIV/0!</v>
      </c>
      <c r="BG20" s="46" t="e">
        <f>BD20/BD5*100</f>
        <v>#DIV/0!</v>
      </c>
      <c r="BH20" s="46" t="e">
        <f>BE20/BE5*100</f>
        <v>#DIV/0!</v>
      </c>
      <c r="BI20" s="44"/>
      <c r="BJ20" s="45"/>
      <c r="BK20" s="39" t="e">
        <f>BI20/BJ20</f>
        <v>#DIV/0!</v>
      </c>
      <c r="BL20" s="46" t="e">
        <f>BI20/BI5*100</f>
        <v>#DIV/0!</v>
      </c>
      <c r="BM20" s="46" t="e">
        <f>BJ20/BJ5*100</f>
        <v>#DIV/0!</v>
      </c>
      <c r="BN20" s="44"/>
      <c r="BO20" s="45"/>
      <c r="BP20" s="39" t="e">
        <f>BN20/BO20</f>
        <v>#DIV/0!</v>
      </c>
      <c r="BQ20" s="46" t="e">
        <f>BN20/BN5*100</f>
        <v>#DIV/0!</v>
      </c>
      <c r="BR20" s="46" t="e">
        <f>BO20/BO5*100</f>
        <v>#DIV/0!</v>
      </c>
    </row>
    <row r="21" spans="1:70" s="8" customFormat="1" ht="20.25" customHeight="1">
      <c r="A21" s="42"/>
      <c r="B21" s="21" t="s">
        <v>37</v>
      </c>
      <c r="C21" s="31"/>
      <c r="D21" s="31"/>
      <c r="E21" s="27"/>
      <c r="F21" s="27"/>
      <c r="G21" s="39"/>
      <c r="H21" s="26"/>
      <c r="I21" s="26"/>
      <c r="J21" s="27">
        <f>J20/L20*100</f>
        <v>236.84210526315786</v>
      </c>
      <c r="K21" s="27"/>
      <c r="L21" s="47"/>
      <c r="M21" s="39"/>
      <c r="N21" s="46"/>
      <c r="O21" s="46"/>
      <c r="P21" s="27">
        <f>P20/Q20*100</f>
        <v>116.01731601731602</v>
      </c>
      <c r="Q21" s="47"/>
      <c r="R21" s="39"/>
      <c r="S21" s="46"/>
      <c r="T21" s="46"/>
      <c r="U21" s="27">
        <f>U20/V20*100</f>
        <v>126.39296187683284</v>
      </c>
      <c r="V21" s="47"/>
      <c r="W21" s="39"/>
      <c r="X21" s="46"/>
      <c r="Y21" s="46"/>
      <c r="Z21" s="27">
        <f>Z20/AA20*100</f>
        <v>129.2207792207792</v>
      </c>
      <c r="AA21" s="47"/>
      <c r="AB21" s="39"/>
      <c r="AC21" s="46"/>
      <c r="AD21" s="46"/>
      <c r="AE21" s="27">
        <f>AE20/AF20*100</f>
        <v>123.22695035460993</v>
      </c>
      <c r="AF21" s="47"/>
      <c r="AG21" s="39"/>
      <c r="AH21" s="46"/>
      <c r="AI21" s="46"/>
      <c r="AJ21" s="27">
        <f>AJ20/AK20*100</f>
        <v>125.71428571428571</v>
      </c>
      <c r="AK21" s="47"/>
      <c r="AL21" s="39"/>
      <c r="AM21" s="46"/>
      <c r="AN21" s="46"/>
      <c r="AO21" s="27" t="e">
        <f>AO20/AP20*100</f>
        <v>#DIV/0!</v>
      </c>
      <c r="AP21" s="47"/>
      <c r="AQ21" s="39"/>
      <c r="AR21" s="46"/>
      <c r="AS21" s="46"/>
      <c r="AT21" s="27" t="e">
        <f>AT20/AU20*100</f>
        <v>#DIV/0!</v>
      </c>
      <c r="AU21" s="47"/>
      <c r="AV21" s="39"/>
      <c r="AW21" s="46"/>
      <c r="AX21" s="46"/>
      <c r="AY21" s="27" t="e">
        <f>AY20/AZ20*100</f>
        <v>#DIV/0!</v>
      </c>
      <c r="AZ21" s="47"/>
      <c r="BA21" s="39"/>
      <c r="BB21" s="46"/>
      <c r="BC21" s="46"/>
      <c r="BD21" s="27" t="e">
        <f>BD20/BE20*100</f>
        <v>#DIV/0!</v>
      </c>
      <c r="BE21" s="47"/>
      <c r="BF21" s="39"/>
      <c r="BG21" s="46"/>
      <c r="BH21" s="46"/>
      <c r="BI21" s="27" t="e">
        <f>BI20/BJ20*100</f>
        <v>#DIV/0!</v>
      </c>
      <c r="BJ21" s="47"/>
      <c r="BK21" s="39"/>
      <c r="BL21" s="46"/>
      <c r="BM21" s="46"/>
      <c r="BN21" s="27" t="e">
        <f>BN20/BO20*100</f>
        <v>#DIV/0!</v>
      </c>
      <c r="BO21" s="47"/>
      <c r="BP21" s="39"/>
      <c r="BQ21" s="46"/>
      <c r="BR21" s="46"/>
    </row>
    <row r="22" spans="1:70" s="8" customFormat="1" ht="21.75" customHeight="1">
      <c r="A22" s="20"/>
      <c r="B22" s="43" t="s">
        <v>52</v>
      </c>
      <c r="C22" s="31"/>
      <c r="D22" s="31"/>
      <c r="E22" s="27"/>
      <c r="F22" s="27"/>
      <c r="G22" s="39" t="e">
        <f>E22/F22</f>
        <v>#DIV/0!</v>
      </c>
      <c r="H22" s="26"/>
      <c r="I22" s="26" t="s">
        <v>53</v>
      </c>
      <c r="J22" s="44">
        <v>1131</v>
      </c>
      <c r="K22" s="44"/>
      <c r="L22" s="45">
        <v>1015</v>
      </c>
      <c r="M22" s="39">
        <f>J22/L22</f>
        <v>1.1142857142857143</v>
      </c>
      <c r="N22" s="46">
        <f>J22/J5*100</f>
        <v>0.6488142360513544</v>
      </c>
      <c r="O22" s="46">
        <f>L22/L5*100</f>
        <v>0.6328324708522975</v>
      </c>
      <c r="P22" s="44">
        <v>2653</v>
      </c>
      <c r="Q22" s="45">
        <v>2243</v>
      </c>
      <c r="R22" s="39">
        <f>P22/Q22</f>
        <v>1.1827909050378957</v>
      </c>
      <c r="S22" s="46">
        <f>P22/P5*100</f>
        <v>0.7168681535443496</v>
      </c>
      <c r="T22" s="46">
        <f>Q22/Q5*100</f>
        <v>0.706734935013785</v>
      </c>
      <c r="U22" s="44">
        <f>4295+0</f>
        <v>4295</v>
      </c>
      <c r="V22" s="45">
        <f>3531+1</f>
        <v>3532</v>
      </c>
      <c r="W22" s="39">
        <f>U22/V22</f>
        <v>1.2160249150622877</v>
      </c>
      <c r="X22" s="46">
        <f>U22/U5*100</f>
        <v>0.741449166279686</v>
      </c>
      <c r="Y22" s="46">
        <f>V22/V5*100</f>
        <v>0.7054828722660542</v>
      </c>
      <c r="Z22" s="44">
        <v>5847</v>
      </c>
      <c r="AA22" s="45">
        <v>4953</v>
      </c>
      <c r="AB22" s="39">
        <f>Z22/AA22</f>
        <v>1.180496668685645</v>
      </c>
      <c r="AC22" s="46">
        <f>Z22/Z5*100</f>
        <v>0.7551775577813511</v>
      </c>
      <c r="AD22" s="46">
        <f>AA22/AA5*100</f>
        <v>0.759136304279855</v>
      </c>
      <c r="AE22" s="44">
        <f>7535</f>
        <v>7535</v>
      </c>
      <c r="AF22" s="45">
        <f>6529+1</f>
        <v>6530</v>
      </c>
      <c r="AG22" s="39">
        <f>AE22/AF22</f>
        <v>1.153905053598775</v>
      </c>
      <c r="AH22" s="46">
        <f>AE22/AE5*100</f>
        <v>0.7880348387744516</v>
      </c>
      <c r="AI22" s="46">
        <f>AF22/AF5*100</f>
        <v>0.8069538911736791</v>
      </c>
      <c r="AJ22" s="44">
        <v>9217</v>
      </c>
      <c r="AK22" s="45">
        <v>8157</v>
      </c>
      <c r="AL22" s="39">
        <f>AJ22/AK22</f>
        <v>1.1299497364227045</v>
      </c>
      <c r="AM22" s="46">
        <f>AJ22/AJ5*100</f>
        <v>0.8106776903117991</v>
      </c>
      <c r="AN22" s="46">
        <f>AK22/AK5*100</f>
        <v>0.8290291303578942</v>
      </c>
      <c r="AO22" s="44"/>
      <c r="AP22" s="45"/>
      <c r="AQ22" s="39" t="e">
        <f>AO22/AP22</f>
        <v>#DIV/0!</v>
      </c>
      <c r="AR22" s="46" t="e">
        <f>AO22/AO5*100</f>
        <v>#DIV/0!</v>
      </c>
      <c r="AS22" s="46" t="e">
        <f>AP22/AP5*100</f>
        <v>#DIV/0!</v>
      </c>
      <c r="AT22" s="44"/>
      <c r="AU22" s="45"/>
      <c r="AV22" s="39" t="e">
        <f>AT22/AU22</f>
        <v>#DIV/0!</v>
      </c>
      <c r="AW22" s="46" t="e">
        <f>AT22/AT5*100</f>
        <v>#DIV/0!</v>
      </c>
      <c r="AX22" s="46" t="e">
        <f>AU22/AU5*100</f>
        <v>#DIV/0!</v>
      </c>
      <c r="AY22" s="44"/>
      <c r="AZ22" s="45"/>
      <c r="BA22" s="39" t="e">
        <f>AY22/AZ22</f>
        <v>#DIV/0!</v>
      </c>
      <c r="BB22" s="46" t="e">
        <f>AY22/AY5*100</f>
        <v>#DIV/0!</v>
      </c>
      <c r="BC22" s="46" t="e">
        <f>AZ22/AZ5*100</f>
        <v>#DIV/0!</v>
      </c>
      <c r="BD22" s="44"/>
      <c r="BE22" s="45"/>
      <c r="BF22" s="39" t="e">
        <f>BD22/BE22</f>
        <v>#DIV/0!</v>
      </c>
      <c r="BG22" s="46" t="e">
        <f>BD22/BD5*100</f>
        <v>#DIV/0!</v>
      </c>
      <c r="BH22" s="46" t="e">
        <f>BE22/BE5*100</f>
        <v>#DIV/0!</v>
      </c>
      <c r="BI22" s="44"/>
      <c r="BJ22" s="45"/>
      <c r="BK22" s="39" t="e">
        <f>BI22/BJ22</f>
        <v>#DIV/0!</v>
      </c>
      <c r="BL22" s="46" t="e">
        <f>BI22/BI5*100</f>
        <v>#DIV/0!</v>
      </c>
      <c r="BM22" s="46" t="e">
        <f>BJ22/BJ5*100</f>
        <v>#DIV/0!</v>
      </c>
      <c r="BN22" s="44"/>
      <c r="BO22" s="45"/>
      <c r="BP22" s="39" t="e">
        <f>BN22/BO22</f>
        <v>#DIV/0!</v>
      </c>
      <c r="BQ22" s="46" t="e">
        <f>BN22/BN5*100</f>
        <v>#DIV/0!</v>
      </c>
      <c r="BR22" s="46" t="e">
        <f>BO22/BO5*100</f>
        <v>#DIV/0!</v>
      </c>
    </row>
    <row r="23" spans="1:70" s="8" customFormat="1" ht="18" customHeight="1">
      <c r="A23" s="20"/>
      <c r="B23" s="21" t="s">
        <v>37</v>
      </c>
      <c r="C23" s="31"/>
      <c r="D23" s="31"/>
      <c r="E23" s="27"/>
      <c r="F23" s="27"/>
      <c r="G23" s="39"/>
      <c r="H23" s="26"/>
      <c r="I23" s="26" t="s">
        <v>54</v>
      </c>
      <c r="J23" s="27">
        <f>J22/L22*100</f>
        <v>111.42857142857143</v>
      </c>
      <c r="K23" s="27"/>
      <c r="L23" s="47"/>
      <c r="M23" s="39"/>
      <c r="N23" s="46"/>
      <c r="O23" s="46"/>
      <c r="P23" s="27">
        <f>P22/Q22*100</f>
        <v>118.27909050378958</v>
      </c>
      <c r="Q23" s="47"/>
      <c r="R23" s="39"/>
      <c r="S23" s="46"/>
      <c r="T23" s="46"/>
      <c r="U23" s="27">
        <f>U22/V22*100</f>
        <v>121.60249150622877</v>
      </c>
      <c r="V23" s="47"/>
      <c r="W23" s="39"/>
      <c r="X23" s="46"/>
      <c r="Y23" s="46"/>
      <c r="Z23" s="27">
        <f>Z22/AA22*100</f>
        <v>118.0496668685645</v>
      </c>
      <c r="AA23" s="47"/>
      <c r="AB23" s="39"/>
      <c r="AC23" s="46"/>
      <c r="AD23" s="46"/>
      <c r="AE23" s="27">
        <f>AE22/AF22*100</f>
        <v>115.3905053598775</v>
      </c>
      <c r="AF23" s="47"/>
      <c r="AG23" s="39"/>
      <c r="AH23" s="46"/>
      <c r="AI23" s="46"/>
      <c r="AJ23" s="27">
        <f>AJ22/AK22*100</f>
        <v>112.99497364227045</v>
      </c>
      <c r="AK23" s="47"/>
      <c r="AL23" s="39"/>
      <c r="AM23" s="46"/>
      <c r="AN23" s="46"/>
      <c r="AO23" s="27" t="e">
        <f>AO22/AP22*100</f>
        <v>#DIV/0!</v>
      </c>
      <c r="AP23" s="47"/>
      <c r="AQ23" s="39"/>
      <c r="AR23" s="46"/>
      <c r="AS23" s="46"/>
      <c r="AT23" s="27" t="e">
        <f>AT22/AU22*100</f>
        <v>#DIV/0!</v>
      </c>
      <c r="AU23" s="47"/>
      <c r="AV23" s="39"/>
      <c r="AW23" s="46"/>
      <c r="AX23" s="46"/>
      <c r="AY23" s="27" t="e">
        <f>AY22/AZ22*100</f>
        <v>#DIV/0!</v>
      </c>
      <c r="AZ23" s="47"/>
      <c r="BA23" s="39"/>
      <c r="BB23" s="46"/>
      <c r="BC23" s="46"/>
      <c r="BD23" s="27" t="e">
        <f>BD22/BE22*100</f>
        <v>#DIV/0!</v>
      </c>
      <c r="BE23" s="47"/>
      <c r="BF23" s="39"/>
      <c r="BG23" s="46"/>
      <c r="BH23" s="46"/>
      <c r="BI23" s="27" t="e">
        <f>BI22/BJ22*100</f>
        <v>#DIV/0!</v>
      </c>
      <c r="BJ23" s="47"/>
      <c r="BK23" s="39"/>
      <c r="BL23" s="46"/>
      <c r="BM23" s="46"/>
      <c r="BN23" s="27" t="e">
        <f>BN22/BO22*100</f>
        <v>#DIV/0!</v>
      </c>
      <c r="BO23" s="47"/>
      <c r="BP23" s="39"/>
      <c r="BQ23" s="46"/>
      <c r="BR23" s="46"/>
    </row>
    <row r="24" spans="1:70" s="8" customFormat="1" ht="16.5" customHeight="1">
      <c r="A24" s="20"/>
      <c r="B24" s="43" t="s">
        <v>55</v>
      </c>
      <c r="C24" s="31"/>
      <c r="D24" s="31"/>
      <c r="E24" s="27"/>
      <c r="F24" s="27"/>
      <c r="G24" s="39" t="e">
        <f>E24/F24</f>
        <v>#DIV/0!</v>
      </c>
      <c r="H24" s="26"/>
      <c r="I24" s="26"/>
      <c r="J24" s="44">
        <v>53</v>
      </c>
      <c r="K24" s="44"/>
      <c r="L24" s="45">
        <v>115</v>
      </c>
      <c r="M24" s="39">
        <f>J24/L24</f>
        <v>0.4608695652173913</v>
      </c>
      <c r="N24" s="46">
        <f>J24/J5*100</f>
        <v>0.0304042038114251</v>
      </c>
      <c r="O24" s="46">
        <f>L24/L5*100</f>
        <v>0.07170023068769873</v>
      </c>
      <c r="P24" s="44">
        <v>53</v>
      </c>
      <c r="Q24" s="45">
        <v>223</v>
      </c>
      <c r="R24" s="39">
        <f>P24/Q24</f>
        <v>0.23766816143497757</v>
      </c>
      <c r="S24" s="46">
        <f>P24/P5*100</f>
        <v>0.01432115044773861</v>
      </c>
      <c r="T24" s="46">
        <f>Q24/Q5*100</f>
        <v>0.07026388341866877</v>
      </c>
      <c r="U24" s="44">
        <v>80</v>
      </c>
      <c r="V24" s="45">
        <v>387</v>
      </c>
      <c r="W24" s="39">
        <f>U24/V24</f>
        <v>0.20671834625322996</v>
      </c>
      <c r="X24" s="46">
        <f>U24/U5*100</f>
        <v>0.01381046177005236</v>
      </c>
      <c r="Y24" s="46">
        <f>V24/V5*100</f>
        <v>0.07729951063617298</v>
      </c>
      <c r="Z24" s="44">
        <v>894</v>
      </c>
      <c r="AA24" s="45">
        <v>713</v>
      </c>
      <c r="AB24" s="39">
        <f>Z24/AA24</f>
        <v>1.2538569424964936</v>
      </c>
      <c r="AC24" s="46">
        <f>Z24/Z5*100</f>
        <v>0.11546583489935487</v>
      </c>
      <c r="AD24" s="46">
        <f>AA24/AA5*100</f>
        <v>0.10928006964497006</v>
      </c>
      <c r="AE24" s="44">
        <v>1098</v>
      </c>
      <c r="AF24" s="45">
        <v>2285</v>
      </c>
      <c r="AG24" s="39">
        <f>AE24/AF24</f>
        <v>0.48052516411378554</v>
      </c>
      <c r="AH24" s="46">
        <f>AE24/AE5*100</f>
        <v>0.11483241578956177</v>
      </c>
      <c r="AI24" s="46">
        <f>AF24/AF5*100</f>
        <v>0.282372073710851</v>
      </c>
      <c r="AJ24" s="44">
        <v>1815</v>
      </c>
      <c r="AK24" s="45">
        <v>2285</v>
      </c>
      <c r="AL24" s="39">
        <f>AJ24/AK24</f>
        <v>0.7943107221006565</v>
      </c>
      <c r="AM24" s="46">
        <f>AJ24/AJ5*100</f>
        <v>0.159637626984476</v>
      </c>
      <c r="AN24" s="46">
        <f>AK24/AK5*100</f>
        <v>0.23223385593573476</v>
      </c>
      <c r="AO24" s="44"/>
      <c r="AP24" s="45"/>
      <c r="AQ24" s="39" t="e">
        <f>AO24/AP24</f>
        <v>#DIV/0!</v>
      </c>
      <c r="AR24" s="46" t="e">
        <f>AO24/AO5*100</f>
        <v>#DIV/0!</v>
      </c>
      <c r="AS24" s="46" t="e">
        <f>AP24/AP5*100</f>
        <v>#DIV/0!</v>
      </c>
      <c r="AT24" s="44"/>
      <c r="AU24" s="45"/>
      <c r="AV24" s="39" t="e">
        <f>AT24/AU24</f>
        <v>#DIV/0!</v>
      </c>
      <c r="AW24" s="46" t="e">
        <f>AT24/AT5*100</f>
        <v>#DIV/0!</v>
      </c>
      <c r="AX24" s="46" t="e">
        <f>AU24/AU5*100</f>
        <v>#DIV/0!</v>
      </c>
      <c r="AY24" s="44"/>
      <c r="AZ24" s="45"/>
      <c r="BA24" s="39" t="e">
        <f>AY24/AZ24</f>
        <v>#DIV/0!</v>
      </c>
      <c r="BB24" s="46" t="e">
        <f>AY24/AY5*100</f>
        <v>#DIV/0!</v>
      </c>
      <c r="BC24" s="46" t="e">
        <f>AZ24/AZ5*100</f>
        <v>#DIV/0!</v>
      </c>
      <c r="BD24" s="44"/>
      <c r="BE24" s="45"/>
      <c r="BF24" s="39" t="e">
        <f>BD24/BE24</f>
        <v>#DIV/0!</v>
      </c>
      <c r="BG24" s="46" t="e">
        <f>BD24/BD5*100</f>
        <v>#DIV/0!</v>
      </c>
      <c r="BH24" s="46" t="e">
        <f>BE24/BE5*100</f>
        <v>#DIV/0!</v>
      </c>
      <c r="BI24" s="44"/>
      <c r="BJ24" s="45"/>
      <c r="BK24" s="39" t="e">
        <f>BI24/BJ24</f>
        <v>#DIV/0!</v>
      </c>
      <c r="BL24" s="46" t="e">
        <f>BI24/BI5*100</f>
        <v>#DIV/0!</v>
      </c>
      <c r="BM24" s="46" t="e">
        <f>BJ24/BJ5*100</f>
        <v>#DIV/0!</v>
      </c>
      <c r="BN24" s="44"/>
      <c r="BO24" s="45"/>
      <c r="BP24" s="39" t="e">
        <f>BN24/BO24</f>
        <v>#DIV/0!</v>
      </c>
      <c r="BQ24" s="46" t="e">
        <f>BN24/BN5*100</f>
        <v>#DIV/0!</v>
      </c>
      <c r="BR24" s="46" t="e">
        <f>BO24/BO5*100</f>
        <v>#DIV/0!</v>
      </c>
    </row>
    <row r="25" spans="1:70" s="8" customFormat="1" ht="18.75" customHeight="1">
      <c r="A25" s="20"/>
      <c r="B25" s="21" t="s">
        <v>37</v>
      </c>
      <c r="C25" s="31"/>
      <c r="D25" s="31"/>
      <c r="E25" s="27"/>
      <c r="F25" s="27"/>
      <c r="G25" s="39"/>
      <c r="H25" s="26"/>
      <c r="I25" s="26"/>
      <c r="J25" s="27">
        <f>J24/L24*100</f>
        <v>46.08695652173913</v>
      </c>
      <c r="K25" s="27"/>
      <c r="L25" s="47"/>
      <c r="M25" s="39"/>
      <c r="N25" s="46"/>
      <c r="O25" s="46"/>
      <c r="P25" s="27">
        <f>P24/Q24*100</f>
        <v>23.766816143497756</v>
      </c>
      <c r="Q25" s="47"/>
      <c r="R25" s="39"/>
      <c r="S25" s="46"/>
      <c r="T25" s="46"/>
      <c r="U25" s="27">
        <f>U24/V24*100</f>
        <v>20.671834625322997</v>
      </c>
      <c r="V25" s="47"/>
      <c r="W25" s="39"/>
      <c r="X25" s="46"/>
      <c r="Y25" s="46"/>
      <c r="Z25" s="27">
        <f>Z24/AA24*100</f>
        <v>125.38569424964936</v>
      </c>
      <c r="AA25" s="47"/>
      <c r="AB25" s="39"/>
      <c r="AC25" s="46"/>
      <c r="AD25" s="46"/>
      <c r="AE25" s="27">
        <f>AE24/AF24*100</f>
        <v>48.052516411378555</v>
      </c>
      <c r="AF25" s="47"/>
      <c r="AG25" s="39"/>
      <c r="AH25" s="46"/>
      <c r="AI25" s="46"/>
      <c r="AJ25" s="27">
        <f>AJ24/AK24*100</f>
        <v>79.43107221006565</v>
      </c>
      <c r="AK25" s="47"/>
      <c r="AL25" s="39"/>
      <c r="AM25" s="46"/>
      <c r="AN25" s="46"/>
      <c r="AO25" s="27" t="e">
        <f>AO24/AP24*100</f>
        <v>#DIV/0!</v>
      </c>
      <c r="AP25" s="47"/>
      <c r="AQ25" s="39"/>
      <c r="AR25" s="46"/>
      <c r="AS25" s="46"/>
      <c r="AT25" s="27" t="e">
        <f>AT24/AU24*100</f>
        <v>#DIV/0!</v>
      </c>
      <c r="AU25" s="47"/>
      <c r="AV25" s="39"/>
      <c r="AW25" s="46"/>
      <c r="AX25" s="46"/>
      <c r="AY25" s="27" t="e">
        <f>AY24/AZ24*100</f>
        <v>#DIV/0!</v>
      </c>
      <c r="AZ25" s="47"/>
      <c r="BA25" s="39"/>
      <c r="BB25" s="46"/>
      <c r="BC25" s="46"/>
      <c r="BD25" s="27" t="e">
        <f>BD24/BE24*100</f>
        <v>#DIV/0!</v>
      </c>
      <c r="BE25" s="47"/>
      <c r="BF25" s="39"/>
      <c r="BG25" s="46"/>
      <c r="BH25" s="46"/>
      <c r="BI25" s="27" t="e">
        <f>BI24/BJ24*100</f>
        <v>#DIV/0!</v>
      </c>
      <c r="BJ25" s="47"/>
      <c r="BK25" s="39"/>
      <c r="BL25" s="46"/>
      <c r="BM25" s="46"/>
      <c r="BN25" s="27" t="e">
        <f>BN24/BO24*100</f>
        <v>#DIV/0!</v>
      </c>
      <c r="BO25" s="47"/>
      <c r="BP25" s="39"/>
      <c r="BQ25" s="46"/>
      <c r="BR25" s="46"/>
    </row>
    <row r="26" spans="1:70" s="8" customFormat="1" ht="16.5" customHeight="1">
      <c r="A26" s="20"/>
      <c r="B26" s="43" t="s">
        <v>56</v>
      </c>
      <c r="C26" s="31"/>
      <c r="D26" s="31"/>
      <c r="E26" s="27"/>
      <c r="F26" s="27"/>
      <c r="G26" s="39" t="e">
        <f>E26/F26</f>
        <v>#DIV/0!</v>
      </c>
      <c r="H26" s="26"/>
      <c r="I26" s="26"/>
      <c r="J26" s="44">
        <v>46005</v>
      </c>
      <c r="K26" s="44"/>
      <c r="L26" s="45">
        <v>45873</v>
      </c>
      <c r="M26" s="39">
        <f>J26/L26</f>
        <v>1.002877509646197</v>
      </c>
      <c r="N26" s="46">
        <f>J26/J5*100</f>
        <v>26.39142257253984</v>
      </c>
      <c r="O26" s="46">
        <f>L26/L5*100</f>
        <v>28.600910281189602</v>
      </c>
      <c r="P26" s="44">
        <v>101044</v>
      </c>
      <c r="Q26" s="45">
        <v>82893</v>
      </c>
      <c r="R26" s="39">
        <f>P26/Q26</f>
        <v>1.2189690323670275</v>
      </c>
      <c r="S26" s="46">
        <f>P26/P5*100</f>
        <v>27.303138223420753</v>
      </c>
      <c r="T26" s="46">
        <f>Q26/Q5*100</f>
        <v>26.11831429696731</v>
      </c>
      <c r="U26" s="44">
        <f>145453+18066+333</f>
        <v>163852</v>
      </c>
      <c r="V26" s="45">
        <f>134186+0+12</f>
        <v>134198</v>
      </c>
      <c r="W26" s="39">
        <f>U26/V26</f>
        <v>1.2209719966020358</v>
      </c>
      <c r="X26" s="46">
        <f>U26/U5*100</f>
        <v>28.28589727433274</v>
      </c>
      <c r="Y26" s="46">
        <f>V26/V5*100</f>
        <v>26.804753820033955</v>
      </c>
      <c r="Z26" s="44">
        <f>204636+27303+442</f>
        <v>232381</v>
      </c>
      <c r="AA26" s="45">
        <f>183420+122</f>
        <v>183542</v>
      </c>
      <c r="AB26" s="39">
        <f>Z26/AA26</f>
        <v>1.2660916847370085</v>
      </c>
      <c r="AC26" s="46">
        <f>Z26/Z5*100</f>
        <v>30.013496845354563</v>
      </c>
      <c r="AD26" s="46">
        <f>AA26/AA5*100</f>
        <v>28.131111560697185</v>
      </c>
      <c r="AE26" s="44">
        <f>270157+32658+562</f>
        <v>303377</v>
      </c>
      <c r="AF26" s="45">
        <f>238008+986+202</f>
        <v>239196</v>
      </c>
      <c r="AG26" s="39">
        <f>AE26/AF26</f>
        <v>1.268319704342882</v>
      </c>
      <c r="AH26" s="46">
        <f>AE26/AE5*100</f>
        <v>31.728154649353257</v>
      </c>
      <c r="AI26" s="46">
        <f>AF26/AF5*100</f>
        <v>29.558980544131604</v>
      </c>
      <c r="AJ26" s="44">
        <f>329812+41605+562</f>
        <v>371979</v>
      </c>
      <c r="AK26" s="45">
        <f>299992+51+3282+920</f>
        <v>304245</v>
      </c>
      <c r="AL26" s="39">
        <f>AJ26/AK26</f>
        <v>1.2226297884928266</v>
      </c>
      <c r="AM26" s="46">
        <f>AJ26/AJ5*100</f>
        <v>32.71726988873741</v>
      </c>
      <c r="AN26" s="46">
        <f>AK26/AK5*100</f>
        <v>30.921658424143377</v>
      </c>
      <c r="AO26" s="44"/>
      <c r="AP26" s="45"/>
      <c r="AQ26" s="39" t="e">
        <f>AO26/AP26</f>
        <v>#DIV/0!</v>
      </c>
      <c r="AR26" s="46" t="e">
        <f>AO26/AO5*100</f>
        <v>#DIV/0!</v>
      </c>
      <c r="AS26" s="46" t="e">
        <f>AP26/AP5*100</f>
        <v>#DIV/0!</v>
      </c>
      <c r="AT26" s="44"/>
      <c r="AU26" s="45"/>
      <c r="AV26" s="39" t="e">
        <f>AT26/AU26</f>
        <v>#DIV/0!</v>
      </c>
      <c r="AW26" s="46" t="e">
        <f>AT26/AT5*100</f>
        <v>#DIV/0!</v>
      </c>
      <c r="AX26" s="46" t="e">
        <f>AU26/AU5*100</f>
        <v>#DIV/0!</v>
      </c>
      <c r="AY26" s="44"/>
      <c r="AZ26" s="45"/>
      <c r="BA26" s="39" t="e">
        <f>AY26/AZ26</f>
        <v>#DIV/0!</v>
      </c>
      <c r="BB26" s="46" t="e">
        <f>AY26/AY5*100</f>
        <v>#DIV/0!</v>
      </c>
      <c r="BC26" s="46" t="e">
        <f>AZ26/AZ5*100</f>
        <v>#DIV/0!</v>
      </c>
      <c r="BD26" s="44"/>
      <c r="BE26" s="45"/>
      <c r="BF26" s="39" t="e">
        <f>BD26/BE26</f>
        <v>#DIV/0!</v>
      </c>
      <c r="BG26" s="46" t="e">
        <f>BD26/BD5*100</f>
        <v>#DIV/0!</v>
      </c>
      <c r="BH26" s="46" t="e">
        <f>BE26/BE5*100</f>
        <v>#DIV/0!</v>
      </c>
      <c r="BI26" s="44"/>
      <c r="BJ26" s="45"/>
      <c r="BK26" s="39" t="e">
        <f>BI26/BJ26</f>
        <v>#DIV/0!</v>
      </c>
      <c r="BL26" s="46" t="e">
        <f>BI26/BI5*100</f>
        <v>#DIV/0!</v>
      </c>
      <c r="BM26" s="46" t="e">
        <f>BJ26/BJ5*100</f>
        <v>#DIV/0!</v>
      </c>
      <c r="BN26" s="44"/>
      <c r="BO26" s="45"/>
      <c r="BP26" s="39" t="e">
        <f>BN26/BO26</f>
        <v>#DIV/0!</v>
      </c>
      <c r="BQ26" s="46" t="e">
        <f>BN26/BN5*100</f>
        <v>#DIV/0!</v>
      </c>
      <c r="BR26" s="46" t="e">
        <f>BO26/BO5*100</f>
        <v>#DIV/0!</v>
      </c>
    </row>
    <row r="27" spans="1:70" s="8" customFormat="1" ht="17.25" customHeight="1">
      <c r="A27" s="20"/>
      <c r="B27" s="21" t="s">
        <v>37</v>
      </c>
      <c r="C27" s="31"/>
      <c r="D27" s="31"/>
      <c r="E27" s="27"/>
      <c r="F27" s="27"/>
      <c r="G27" s="39"/>
      <c r="H27" s="26"/>
      <c r="I27" s="26"/>
      <c r="J27" s="27">
        <f>J26/L26*100</f>
        <v>100.2877509646197</v>
      </c>
      <c r="K27" s="27"/>
      <c r="L27" s="47"/>
      <c r="M27" s="39"/>
      <c r="N27" s="46"/>
      <c r="O27" s="46"/>
      <c r="P27" s="27">
        <f>P26/Q26*100</f>
        <v>121.89690323670274</v>
      </c>
      <c r="Q27" s="47"/>
      <c r="R27" s="39"/>
      <c r="S27" s="46"/>
      <c r="T27" s="46"/>
      <c r="U27" s="27">
        <f>U26/V26*100</f>
        <v>122.09719966020359</v>
      </c>
      <c r="V27" s="47"/>
      <c r="W27" s="39"/>
      <c r="X27" s="46"/>
      <c r="Y27" s="46"/>
      <c r="Z27" s="27">
        <f>Z26/AA26*100</f>
        <v>126.60916847370085</v>
      </c>
      <c r="AA27" s="47"/>
      <c r="AB27" s="39"/>
      <c r="AC27" s="46"/>
      <c r="AD27" s="46"/>
      <c r="AE27" s="27">
        <f>AE26/AF26*100</f>
        <v>126.8319704342882</v>
      </c>
      <c r="AF27" s="47"/>
      <c r="AG27" s="39"/>
      <c r="AH27" s="46"/>
      <c r="AI27" s="46"/>
      <c r="AJ27" s="27">
        <f>AJ26/AK26*100</f>
        <v>122.26297884928266</v>
      </c>
      <c r="AK27" s="47"/>
      <c r="AL27" s="39"/>
      <c r="AM27" s="46"/>
      <c r="AN27" s="46"/>
      <c r="AO27" s="27" t="e">
        <f>AO26/AP26*100</f>
        <v>#DIV/0!</v>
      </c>
      <c r="AP27" s="47"/>
      <c r="AQ27" s="39"/>
      <c r="AR27" s="46"/>
      <c r="AS27" s="46"/>
      <c r="AT27" s="27" t="e">
        <f>AT26/AU26*100</f>
        <v>#DIV/0!</v>
      </c>
      <c r="AU27" s="47"/>
      <c r="AV27" s="39"/>
      <c r="AW27" s="46"/>
      <c r="AX27" s="46"/>
      <c r="AY27" s="27" t="e">
        <f>AY26/AZ26*100</f>
        <v>#DIV/0!</v>
      </c>
      <c r="AZ27" s="47"/>
      <c r="BA27" s="39"/>
      <c r="BB27" s="46"/>
      <c r="BC27" s="46"/>
      <c r="BD27" s="27" t="e">
        <f>BD26/BE26*100</f>
        <v>#DIV/0!</v>
      </c>
      <c r="BE27" s="47"/>
      <c r="BF27" s="39"/>
      <c r="BG27" s="46"/>
      <c r="BH27" s="46"/>
      <c r="BI27" s="27" t="e">
        <f>BI26/BJ26*100</f>
        <v>#DIV/0!</v>
      </c>
      <c r="BJ27" s="47"/>
      <c r="BK27" s="39"/>
      <c r="BL27" s="46"/>
      <c r="BM27" s="46"/>
      <c r="BN27" s="27" t="e">
        <f>BN26/BO26*100</f>
        <v>#DIV/0!</v>
      </c>
      <c r="BO27" s="47"/>
      <c r="BP27" s="39"/>
      <c r="BQ27" s="46"/>
      <c r="BR27" s="46"/>
    </row>
    <row r="28" spans="1:70" s="8" customFormat="1" ht="23.25" customHeight="1">
      <c r="A28" s="20"/>
      <c r="B28" s="43" t="s">
        <v>57</v>
      </c>
      <c r="C28" s="31"/>
      <c r="D28" s="31"/>
      <c r="E28" s="27"/>
      <c r="F28" s="27"/>
      <c r="G28" s="39" t="e">
        <f>E28/F28</f>
        <v>#DIV/0!</v>
      </c>
      <c r="H28" s="26"/>
      <c r="I28" s="26"/>
      <c r="J28" s="44">
        <v>2419</v>
      </c>
      <c r="K28" s="44"/>
      <c r="L28" s="45">
        <v>3018</v>
      </c>
      <c r="M28" s="39">
        <f>J28/L28</f>
        <v>0.8015241882041086</v>
      </c>
      <c r="N28" s="46">
        <f>J28/J5*100</f>
        <v>1.38769375509127</v>
      </c>
      <c r="O28" s="46">
        <f>L28/L5*100</f>
        <v>1.8816634453519547</v>
      </c>
      <c r="P28" s="44">
        <v>6357</v>
      </c>
      <c r="Q28" s="45">
        <v>5073</v>
      </c>
      <c r="R28" s="39">
        <f>P28/Q28</f>
        <v>1.253104671791839</v>
      </c>
      <c r="S28" s="46">
        <f>P28/P5*100</f>
        <v>1.717727422571214</v>
      </c>
      <c r="T28" s="46">
        <f>Q28/Q5*100</f>
        <v>1.5984245766049625</v>
      </c>
      <c r="U28" s="44">
        <f>10260+319</f>
        <v>10579</v>
      </c>
      <c r="V28" s="45">
        <f>13161+278</f>
        <v>13439</v>
      </c>
      <c r="W28" s="39">
        <f>U28/V28</f>
        <v>0.787186546618052</v>
      </c>
      <c r="X28" s="46">
        <f>U28/U5*100</f>
        <v>1.826260938317299</v>
      </c>
      <c r="Y28" s="46">
        <f>V28/V5*100</f>
        <v>2.68431039648457</v>
      </c>
      <c r="Z28" s="44">
        <f>16675+427</f>
        <v>17102</v>
      </c>
      <c r="AA28" s="45">
        <f>16743+435</f>
        <v>17178</v>
      </c>
      <c r="AB28" s="39">
        <f>Z28/AA28</f>
        <v>0.9955757364070322</v>
      </c>
      <c r="AC28" s="46">
        <f>Z28/Z5*100</f>
        <v>2.2088330072133857</v>
      </c>
      <c r="AD28" s="46">
        <f>AA28/AA5*100</f>
        <v>2.6328373581504847</v>
      </c>
      <c r="AE28" s="44">
        <f>24758+622</f>
        <v>25380</v>
      </c>
      <c r="AF28" s="45">
        <f>17069+568</f>
        <v>17637</v>
      </c>
      <c r="AG28" s="39">
        <f>AE28/AF28</f>
        <v>1.4390202415376765</v>
      </c>
      <c r="AH28" s="46">
        <f>AE28/AE5*100</f>
        <v>2.6543230534964275</v>
      </c>
      <c r="AI28" s="46">
        <f>AF28/AF5*100</f>
        <v>2.1795169645681747</v>
      </c>
      <c r="AJ28" s="44">
        <f>28713+854</f>
        <v>29567</v>
      </c>
      <c r="AK28" s="45">
        <f>20136+655</f>
        <v>20791</v>
      </c>
      <c r="AL28" s="39">
        <f>AJ28/AK28</f>
        <v>1.4221057188206436</v>
      </c>
      <c r="AM28" s="46">
        <f>AJ28/AJ5*100</f>
        <v>2.6005541140771364</v>
      </c>
      <c r="AN28" s="46">
        <f>AK28/AK5*100</f>
        <v>2.113074003833637</v>
      </c>
      <c r="AO28" s="44"/>
      <c r="AP28" s="45"/>
      <c r="AQ28" s="39" t="e">
        <f>AO28/AP28</f>
        <v>#DIV/0!</v>
      </c>
      <c r="AR28" s="46" t="e">
        <f>AO28/AO5*100</f>
        <v>#DIV/0!</v>
      </c>
      <c r="AS28" s="46" t="e">
        <f>AP28/AP5*100</f>
        <v>#DIV/0!</v>
      </c>
      <c r="AT28" s="44"/>
      <c r="AU28" s="45"/>
      <c r="AV28" s="39" t="e">
        <f>AT28/AU28</f>
        <v>#DIV/0!</v>
      </c>
      <c r="AW28" s="46" t="e">
        <f>AT28/AT5*100</f>
        <v>#DIV/0!</v>
      </c>
      <c r="AX28" s="46" t="e">
        <f>AU28/AU5*100</f>
        <v>#DIV/0!</v>
      </c>
      <c r="AY28" s="44"/>
      <c r="AZ28" s="45"/>
      <c r="BA28" s="39" t="e">
        <f>AY28/AZ28</f>
        <v>#DIV/0!</v>
      </c>
      <c r="BB28" s="46" t="e">
        <f>AY28/AY5*100</f>
        <v>#DIV/0!</v>
      </c>
      <c r="BC28" s="46" t="e">
        <f>AZ28/AZ5*100</f>
        <v>#DIV/0!</v>
      </c>
      <c r="BD28" s="44"/>
      <c r="BE28" s="45"/>
      <c r="BF28" s="39" t="e">
        <f>BD28/BE28</f>
        <v>#DIV/0!</v>
      </c>
      <c r="BG28" s="46" t="e">
        <f>BD28/BD5*100</f>
        <v>#DIV/0!</v>
      </c>
      <c r="BH28" s="46" t="e">
        <f>BE28/BE5*100</f>
        <v>#DIV/0!</v>
      </c>
      <c r="BI28" s="44"/>
      <c r="BJ28" s="45"/>
      <c r="BK28" s="39" t="e">
        <f>BI28/BJ28</f>
        <v>#DIV/0!</v>
      </c>
      <c r="BL28" s="46" t="e">
        <f>BI28/BI5*100</f>
        <v>#DIV/0!</v>
      </c>
      <c r="BM28" s="46" t="e">
        <f>BJ28/BJ5*100</f>
        <v>#DIV/0!</v>
      </c>
      <c r="BN28" s="44"/>
      <c r="BO28" s="45"/>
      <c r="BP28" s="39" t="e">
        <f>BN28/BO28</f>
        <v>#DIV/0!</v>
      </c>
      <c r="BQ28" s="46" t="e">
        <f>BN28/BN5*100</f>
        <v>#DIV/0!</v>
      </c>
      <c r="BR28" s="46" t="e">
        <f>BO28/BO5*100</f>
        <v>#DIV/0!</v>
      </c>
    </row>
    <row r="29" spans="1:70" s="8" customFormat="1" ht="18" customHeight="1">
      <c r="A29" s="20"/>
      <c r="B29" s="21" t="s">
        <v>37</v>
      </c>
      <c r="C29" s="31"/>
      <c r="D29" s="31"/>
      <c r="E29" s="27"/>
      <c r="F29" s="27"/>
      <c r="G29" s="39"/>
      <c r="H29" s="26"/>
      <c r="I29" s="26"/>
      <c r="J29" s="27">
        <f>J28/L28*100</f>
        <v>80.15241882041086</v>
      </c>
      <c r="K29" s="27"/>
      <c r="L29" s="47"/>
      <c r="M29" s="39"/>
      <c r="N29" s="46"/>
      <c r="O29" s="46"/>
      <c r="P29" s="27">
        <f>P28/Q28*100</f>
        <v>125.3104671791839</v>
      </c>
      <c r="Q29" s="47"/>
      <c r="R29" s="39"/>
      <c r="S29" s="46"/>
      <c r="T29" s="46"/>
      <c r="U29" s="27">
        <f>U28/V28*100</f>
        <v>78.7186546618052</v>
      </c>
      <c r="V29" s="47"/>
      <c r="W29" s="39"/>
      <c r="X29" s="46"/>
      <c r="Y29" s="46"/>
      <c r="Z29" s="27">
        <f>Z28/AA28*100</f>
        <v>99.55757364070323</v>
      </c>
      <c r="AA29" s="47"/>
      <c r="AB29" s="39"/>
      <c r="AC29" s="46"/>
      <c r="AD29" s="46"/>
      <c r="AE29" s="27">
        <f>AE28/AF28*100</f>
        <v>143.90202415376766</v>
      </c>
      <c r="AF29" s="47"/>
      <c r="AG29" s="39"/>
      <c r="AH29" s="46"/>
      <c r="AI29" s="46"/>
      <c r="AJ29" s="27">
        <f>AJ28/AK28*100</f>
        <v>142.21057188206436</v>
      </c>
      <c r="AK29" s="47"/>
      <c r="AL29" s="39"/>
      <c r="AM29" s="46"/>
      <c r="AN29" s="46"/>
      <c r="AO29" s="27" t="e">
        <f>AO28/AP28*100</f>
        <v>#DIV/0!</v>
      </c>
      <c r="AP29" s="47"/>
      <c r="AQ29" s="39"/>
      <c r="AR29" s="46"/>
      <c r="AS29" s="46"/>
      <c r="AT29" s="27" t="e">
        <f>AT28/AU28*100</f>
        <v>#DIV/0!</v>
      </c>
      <c r="AU29" s="47"/>
      <c r="AV29" s="39"/>
      <c r="AW29" s="46"/>
      <c r="AX29" s="46"/>
      <c r="AY29" s="27" t="e">
        <f>AY28/AZ28*100</f>
        <v>#DIV/0!</v>
      </c>
      <c r="AZ29" s="47"/>
      <c r="BA29" s="39"/>
      <c r="BB29" s="46"/>
      <c r="BC29" s="46"/>
      <c r="BD29" s="27" t="e">
        <f>BD28/BE28*100</f>
        <v>#DIV/0!</v>
      </c>
      <c r="BE29" s="47"/>
      <c r="BF29" s="39"/>
      <c r="BG29" s="46"/>
      <c r="BH29" s="46"/>
      <c r="BI29" s="27" t="e">
        <f>BI28/BJ28*100</f>
        <v>#DIV/0!</v>
      </c>
      <c r="BJ29" s="47"/>
      <c r="BK29" s="39"/>
      <c r="BL29" s="46"/>
      <c r="BM29" s="46"/>
      <c r="BN29" s="27" t="e">
        <f>BN28/BO28*100</f>
        <v>#DIV/0!</v>
      </c>
      <c r="BO29" s="47"/>
      <c r="BP29" s="39"/>
      <c r="BQ29" s="46"/>
      <c r="BR29" s="46"/>
    </row>
    <row r="30" spans="1:70" s="8" customFormat="1" ht="24.75" customHeight="1">
      <c r="A30" s="20"/>
      <c r="B30" s="43" t="s">
        <v>58</v>
      </c>
      <c r="C30" s="31"/>
      <c r="D30" s="31"/>
      <c r="E30" s="27"/>
      <c r="F30" s="27"/>
      <c r="G30" s="39"/>
      <c r="H30" s="26"/>
      <c r="I30" s="26"/>
      <c r="J30" s="44">
        <v>998</v>
      </c>
      <c r="K30" s="44"/>
      <c r="L30" s="45">
        <v>1921</v>
      </c>
      <c r="M30" s="39">
        <f>J30/L30</f>
        <v>0.5195210827693909</v>
      </c>
      <c r="N30" s="46">
        <f>J30/J5*100</f>
        <v>0.5725168944113631</v>
      </c>
      <c r="O30" s="46">
        <f>L30/L5*100</f>
        <v>1.1977055926179936</v>
      </c>
      <c r="P30" s="44">
        <v>1259</v>
      </c>
      <c r="Q30" s="45">
        <v>3842</v>
      </c>
      <c r="R30" s="39">
        <f>P30/Q30</f>
        <v>0.32769390942217597</v>
      </c>
      <c r="S30" s="46">
        <f>P30/P5*100</f>
        <v>0.3401948757302436</v>
      </c>
      <c r="T30" s="46">
        <f>Q30/Q5*100</f>
        <v>1.2105553367467508</v>
      </c>
      <c r="U30" s="44">
        <v>3155</v>
      </c>
      <c r="V30" s="45">
        <v>4279</v>
      </c>
      <c r="W30" s="39">
        <f>U30/V30</f>
        <v>0.7373218041598504</v>
      </c>
      <c r="X30" s="46">
        <f>U30/U5*100</f>
        <v>0.5446500860564399</v>
      </c>
      <c r="Y30" s="46">
        <f>V30/V5*100</f>
        <v>0.8546889044242485</v>
      </c>
      <c r="Z30" s="44">
        <v>4284</v>
      </c>
      <c r="AA30" s="45">
        <v>5592</v>
      </c>
      <c r="AB30" s="39">
        <f>Z30/AA30</f>
        <v>0.7660944206008584</v>
      </c>
      <c r="AC30" s="46">
        <f>Z30/Z5*100</f>
        <v>0.5533060813297945</v>
      </c>
      <c r="AD30" s="46">
        <f>AA30/AA5*100</f>
        <v>0.8570745434146879</v>
      </c>
      <c r="AE30" s="44">
        <v>6450</v>
      </c>
      <c r="AF30" s="45">
        <v>9386</v>
      </c>
      <c r="AG30" s="39">
        <f>AE30/AF30</f>
        <v>0.6871936927338589</v>
      </c>
      <c r="AH30" s="46">
        <f>AE30/AE5*100</f>
        <v>0.674562005321196</v>
      </c>
      <c r="AI30" s="46">
        <f>AF30/AF5*100</f>
        <v>1.1598880892122747</v>
      </c>
      <c r="AJ30" s="44">
        <v>8328</v>
      </c>
      <c r="AK30" s="45">
        <v>14071</v>
      </c>
      <c r="AL30" s="39">
        <f>AJ30/AK30</f>
        <v>0.5918555895103405</v>
      </c>
      <c r="AM30" s="46">
        <f>AJ30/AJ5*100</f>
        <v>0.7324860372048023</v>
      </c>
      <c r="AN30" s="46">
        <f>AK30/AK5*100</f>
        <v>1.4300930358300759</v>
      </c>
      <c r="AO30" s="44"/>
      <c r="AP30" s="45"/>
      <c r="AQ30" s="39" t="e">
        <f>AO30/AP30</f>
        <v>#DIV/0!</v>
      </c>
      <c r="AR30" s="46" t="e">
        <f>AO30/AO5*100</f>
        <v>#DIV/0!</v>
      </c>
      <c r="AS30" s="46" t="e">
        <f>AP30/AP5*100</f>
        <v>#DIV/0!</v>
      </c>
      <c r="AT30" s="44"/>
      <c r="AU30" s="45"/>
      <c r="AV30" s="39" t="e">
        <f>AT30/AU30</f>
        <v>#DIV/0!</v>
      </c>
      <c r="AW30" s="46" t="e">
        <f>AT30/AT5*100</f>
        <v>#DIV/0!</v>
      </c>
      <c r="AX30" s="46" t="e">
        <f>AU30/AU5*100</f>
        <v>#DIV/0!</v>
      </c>
      <c r="AY30" s="44"/>
      <c r="AZ30" s="45"/>
      <c r="BA30" s="39" t="e">
        <f>AY30/AZ30</f>
        <v>#DIV/0!</v>
      </c>
      <c r="BB30" s="46" t="e">
        <f>AY30/AY5*100</f>
        <v>#DIV/0!</v>
      </c>
      <c r="BC30" s="46" t="e">
        <f>AZ30/AZ5*100</f>
        <v>#DIV/0!</v>
      </c>
      <c r="BD30" s="44"/>
      <c r="BE30" s="45"/>
      <c r="BF30" s="39" t="e">
        <f>BD30/BE30</f>
        <v>#DIV/0!</v>
      </c>
      <c r="BG30" s="46" t="e">
        <f>BD30/BD5*100</f>
        <v>#DIV/0!</v>
      </c>
      <c r="BH30" s="46" t="e">
        <f>BE30/BE5*100</f>
        <v>#DIV/0!</v>
      </c>
      <c r="BI30" s="44"/>
      <c r="BJ30" s="45"/>
      <c r="BK30" s="39" t="e">
        <f>BI30/BJ30</f>
        <v>#DIV/0!</v>
      </c>
      <c r="BL30" s="46" t="e">
        <f>BI30/BI5*100</f>
        <v>#DIV/0!</v>
      </c>
      <c r="BM30" s="46" t="e">
        <f>BJ30/BJ5*100</f>
        <v>#DIV/0!</v>
      </c>
      <c r="BN30" s="44"/>
      <c r="BO30" s="45"/>
      <c r="BP30" s="39" t="e">
        <f>BN30/BO30</f>
        <v>#DIV/0!</v>
      </c>
      <c r="BQ30" s="46" t="e">
        <f>BN30/BN5*100</f>
        <v>#DIV/0!</v>
      </c>
      <c r="BR30" s="46" t="e">
        <f>BO30/BO5*100</f>
        <v>#DIV/0!</v>
      </c>
    </row>
    <row r="31" spans="1:70" s="8" customFormat="1" ht="24.75" customHeight="1">
      <c r="A31" s="20"/>
      <c r="B31" s="21" t="s">
        <v>37</v>
      </c>
      <c r="C31" s="31"/>
      <c r="D31" s="31"/>
      <c r="E31" s="27"/>
      <c r="F31" s="27"/>
      <c r="G31" s="39"/>
      <c r="H31" s="26"/>
      <c r="I31" s="26"/>
      <c r="J31" s="27">
        <v>0</v>
      </c>
      <c r="K31" s="27"/>
      <c r="L31" s="47"/>
      <c r="M31" s="39"/>
      <c r="N31" s="46"/>
      <c r="O31" s="46"/>
      <c r="P31" s="27">
        <v>0</v>
      </c>
      <c r="Q31" s="47"/>
      <c r="R31" s="39"/>
      <c r="S31" s="46"/>
      <c r="T31" s="46"/>
      <c r="U31" s="27">
        <v>0</v>
      </c>
      <c r="V31" s="47"/>
      <c r="W31" s="39"/>
      <c r="X31" s="46"/>
      <c r="Y31" s="46"/>
      <c r="Z31" s="27">
        <f>Z30/AA30*100</f>
        <v>76.60944206008584</v>
      </c>
      <c r="AA31" s="47"/>
      <c r="AB31" s="39"/>
      <c r="AC31" s="46"/>
      <c r="AD31" s="46"/>
      <c r="AE31" s="27">
        <f>AE30/AF30*100</f>
        <v>68.7193692733859</v>
      </c>
      <c r="AF31" s="47"/>
      <c r="AG31" s="39"/>
      <c r="AH31" s="46"/>
      <c r="AI31" s="46"/>
      <c r="AJ31" s="27">
        <v>0</v>
      </c>
      <c r="AK31" s="47"/>
      <c r="AL31" s="39"/>
      <c r="AM31" s="46"/>
      <c r="AN31" s="46"/>
      <c r="AO31" s="27">
        <v>0</v>
      </c>
      <c r="AP31" s="47"/>
      <c r="AQ31" s="39"/>
      <c r="AR31" s="46"/>
      <c r="AS31" s="46"/>
      <c r="AT31" s="27">
        <v>0</v>
      </c>
      <c r="AU31" s="47"/>
      <c r="AV31" s="39"/>
      <c r="AW31" s="46"/>
      <c r="AX31" s="46"/>
      <c r="AY31" s="27" t="e">
        <f>AY30/AZ30*100</f>
        <v>#DIV/0!</v>
      </c>
      <c r="AZ31" s="47"/>
      <c r="BA31" s="39"/>
      <c r="BB31" s="46"/>
      <c r="BC31" s="46"/>
      <c r="BD31" s="27" t="e">
        <f>BD30/BE30*100</f>
        <v>#DIV/0!</v>
      </c>
      <c r="BE31" s="47"/>
      <c r="BF31" s="39"/>
      <c r="BG31" s="46"/>
      <c r="BH31" s="46"/>
      <c r="BI31" s="27" t="e">
        <f>BI30/BJ30*100</f>
        <v>#DIV/0!</v>
      </c>
      <c r="BJ31" s="47"/>
      <c r="BK31" s="39"/>
      <c r="BL31" s="46"/>
      <c r="BM31" s="46"/>
      <c r="BN31" s="27" t="e">
        <f>BN30/BO30*100</f>
        <v>#DIV/0!</v>
      </c>
      <c r="BO31" s="47"/>
      <c r="BP31" s="39"/>
      <c r="BQ31" s="46"/>
      <c r="BR31" s="46"/>
    </row>
    <row r="32" spans="1:70" ht="57" customHeight="1">
      <c r="A32" s="20"/>
      <c r="B32" s="43" t="s">
        <v>59</v>
      </c>
      <c r="C32" s="31"/>
      <c r="D32" s="31"/>
      <c r="E32" s="27"/>
      <c r="F32" s="27"/>
      <c r="G32" s="39"/>
      <c r="H32" s="26"/>
      <c r="I32" s="26"/>
      <c r="J32" s="44">
        <v>20913</v>
      </c>
      <c r="K32" s="44"/>
      <c r="L32" s="45">
        <v>14340</v>
      </c>
      <c r="M32" s="39">
        <f>J32/L32</f>
        <v>1.4583682008368202</v>
      </c>
      <c r="N32" s="46">
        <f>J32/J5*100</f>
        <v>11.997039892610058</v>
      </c>
      <c r="O32" s="46">
        <f>L32/L5*100</f>
        <v>8.940707026622608</v>
      </c>
      <c r="P32" s="44">
        <v>43057</v>
      </c>
      <c r="Q32" s="45">
        <v>27900</v>
      </c>
      <c r="R32" s="39">
        <f>P32/Q32</f>
        <v>1.5432616487455197</v>
      </c>
      <c r="S32" s="46">
        <f>P32/P5*100</f>
        <v>11.634448581665685</v>
      </c>
      <c r="T32" s="46">
        <f>Q32/Q5*100</f>
        <v>8.790862544308784</v>
      </c>
      <c r="U32" s="44">
        <v>68112</v>
      </c>
      <c r="V32" s="45">
        <v>46773</v>
      </c>
      <c r="W32" s="39">
        <f>U32/V32</f>
        <v>1.4562247450452184</v>
      </c>
      <c r="X32" s="46">
        <f>U32/U5*100</f>
        <v>11.758227151022577</v>
      </c>
      <c r="Y32" s="46">
        <f>V32/V5*100</f>
        <v>9.342454808748627</v>
      </c>
      <c r="Z32" s="44">
        <v>92240</v>
      </c>
      <c r="AA32" s="45">
        <v>65574</v>
      </c>
      <c r="AB32" s="39">
        <f>Z32/AA32</f>
        <v>1.4066550767072314</v>
      </c>
      <c r="AC32" s="46">
        <f>Z32/Z5*100</f>
        <v>11.913387708183997</v>
      </c>
      <c r="AD32" s="46">
        <f>AA32/AA5*100</f>
        <v>10.050394511780176</v>
      </c>
      <c r="AE32" s="44">
        <v>116263</v>
      </c>
      <c r="AF32" s="45">
        <v>84250</v>
      </c>
      <c r="AG32" s="39">
        <f>AE32/AF32</f>
        <v>1.3799762611275965</v>
      </c>
      <c r="AH32" s="46">
        <f>AE32/AE5*100</f>
        <v>12.159163166613677</v>
      </c>
      <c r="AI32" s="46">
        <f>AF32/AF5*100</f>
        <v>10.411311689338817</v>
      </c>
      <c r="AJ32" s="44">
        <v>140458</v>
      </c>
      <c r="AK32" s="45">
        <v>106874</v>
      </c>
      <c r="AL32" s="39">
        <f>AJ32/AK32</f>
        <v>1.3142391975597432</v>
      </c>
      <c r="AM32" s="46">
        <f>AJ32/AJ5*100</f>
        <v>12.353929372443819</v>
      </c>
      <c r="AN32" s="46">
        <f>AK32/AK5*100</f>
        <v>10.862039877144733</v>
      </c>
      <c r="AO32" s="44"/>
      <c r="AP32" s="45"/>
      <c r="AQ32" s="39" t="e">
        <f>AO32/AP32</f>
        <v>#DIV/0!</v>
      </c>
      <c r="AR32" s="46" t="e">
        <f>AO32/AO5*100</f>
        <v>#DIV/0!</v>
      </c>
      <c r="AS32" s="46" t="e">
        <f>AP32/AP5*100</f>
        <v>#DIV/0!</v>
      </c>
      <c r="AT32" s="44"/>
      <c r="AU32" s="45"/>
      <c r="AV32" s="39" t="e">
        <f>AT32/AU32</f>
        <v>#DIV/0!</v>
      </c>
      <c r="AW32" s="46" t="e">
        <f>AT32/AT5*100</f>
        <v>#DIV/0!</v>
      </c>
      <c r="AX32" s="46" t="e">
        <f>AU32/AU5*100</f>
        <v>#DIV/0!</v>
      </c>
      <c r="AY32" s="44"/>
      <c r="AZ32" s="45"/>
      <c r="BA32" s="39" t="e">
        <f>AY32/AZ32</f>
        <v>#DIV/0!</v>
      </c>
      <c r="BB32" s="46" t="e">
        <f>AY32/AY5*100</f>
        <v>#DIV/0!</v>
      </c>
      <c r="BC32" s="46" t="e">
        <f>AZ32/AZ5*100</f>
        <v>#DIV/0!</v>
      </c>
      <c r="BD32" s="44"/>
      <c r="BE32" s="45"/>
      <c r="BF32" s="39" t="e">
        <f>BD32/BE32</f>
        <v>#DIV/0!</v>
      </c>
      <c r="BG32" s="46" t="e">
        <f>BD32/BD5*100</f>
        <v>#DIV/0!</v>
      </c>
      <c r="BH32" s="46" t="e">
        <f>BE32/BE5*100</f>
        <v>#DIV/0!</v>
      </c>
      <c r="BI32" s="44"/>
      <c r="BJ32" s="45"/>
      <c r="BK32" s="39" t="e">
        <f>BI32/BJ32</f>
        <v>#DIV/0!</v>
      </c>
      <c r="BL32" s="46" t="e">
        <f>BI32/BI5*100</f>
        <v>#DIV/0!</v>
      </c>
      <c r="BM32" s="46" t="e">
        <f>BJ32/BJ5*100</f>
        <v>#DIV/0!</v>
      </c>
      <c r="BN32" s="44"/>
      <c r="BO32" s="45"/>
      <c r="BP32" s="39" t="e">
        <f>BN32/BO32</f>
        <v>#DIV/0!</v>
      </c>
      <c r="BQ32" s="46" t="e">
        <f>BN32/BN5*100</f>
        <v>#DIV/0!</v>
      </c>
      <c r="BR32" s="46" t="e">
        <f>BO32/BO5*100</f>
        <v>#DIV/0!</v>
      </c>
    </row>
    <row r="33" spans="1:70" ht="15" customHeight="1">
      <c r="A33" s="48"/>
      <c r="B33" s="21" t="s">
        <v>37</v>
      </c>
      <c r="C33" s="31"/>
      <c r="D33" s="31"/>
      <c r="E33" s="27"/>
      <c r="F33" s="27"/>
      <c r="G33" s="39"/>
      <c r="H33" s="26"/>
      <c r="I33" s="26"/>
      <c r="J33" s="27"/>
      <c r="K33" s="27"/>
      <c r="L33" s="47"/>
      <c r="M33" s="39"/>
      <c r="N33" s="49"/>
      <c r="O33" s="49"/>
      <c r="P33" s="44">
        <f>P32/Q32*100</f>
        <v>154.32616487455198</v>
      </c>
      <c r="Q33" s="45"/>
      <c r="R33" s="39"/>
      <c r="S33" s="49"/>
      <c r="T33" s="49"/>
      <c r="U33" s="27">
        <f>U32/V32*100</f>
        <v>145.62247450452185</v>
      </c>
      <c r="V33" s="47"/>
      <c r="W33" s="39"/>
      <c r="X33" s="49"/>
      <c r="Y33" s="49"/>
      <c r="Z33" s="27">
        <f>Z32/AA32*100</f>
        <v>140.66550767072314</v>
      </c>
      <c r="AA33" s="47"/>
      <c r="AB33" s="39"/>
      <c r="AC33" s="49"/>
      <c r="AD33" s="49"/>
      <c r="AE33" s="27">
        <f>AE32/AF32*100</f>
        <v>137.99762611275966</v>
      </c>
      <c r="AF33" s="47"/>
      <c r="AG33" s="39"/>
      <c r="AH33" s="49"/>
      <c r="AI33" s="49"/>
      <c r="AJ33" s="27">
        <f>AJ32/AK32*100</f>
        <v>131.4239197559743</v>
      </c>
      <c r="AK33" s="47"/>
      <c r="AL33" s="39"/>
      <c r="AM33" s="49"/>
      <c r="AN33" s="49"/>
      <c r="AO33" s="27"/>
      <c r="AP33" s="47"/>
      <c r="AQ33" s="39"/>
      <c r="AR33" s="49"/>
      <c r="AS33" s="49"/>
      <c r="AT33" s="27"/>
      <c r="AU33" s="47"/>
      <c r="AV33" s="39"/>
      <c r="AW33" s="49"/>
      <c r="AX33" s="49"/>
      <c r="AY33" s="27" t="e">
        <f>AY32/AZ32*100</f>
        <v>#DIV/0!</v>
      </c>
      <c r="AZ33" s="47"/>
      <c r="BA33" s="39"/>
      <c r="BB33" s="49"/>
      <c r="BC33" s="49"/>
      <c r="BD33" s="27" t="e">
        <f>BD32/BE32*100</f>
        <v>#DIV/0!</v>
      </c>
      <c r="BE33" s="47"/>
      <c r="BF33" s="39"/>
      <c r="BG33" s="49"/>
      <c r="BH33" s="49"/>
      <c r="BI33" s="27" t="e">
        <f>BI32/BJ32*100</f>
        <v>#DIV/0!</v>
      </c>
      <c r="BJ33" s="47"/>
      <c r="BK33" s="39"/>
      <c r="BL33" s="49"/>
      <c r="BM33" s="49"/>
      <c r="BN33" s="27" t="e">
        <f>BN32/BO32*100</f>
        <v>#DIV/0!</v>
      </c>
      <c r="BO33" s="47"/>
      <c r="BP33" s="39"/>
      <c r="BQ33" s="49"/>
      <c r="BR33" s="49"/>
    </row>
    <row r="34" spans="1:70" s="8" customFormat="1" ht="28.5" customHeight="1">
      <c r="A34" s="20"/>
      <c r="B34" s="30" t="s">
        <v>60</v>
      </c>
      <c r="C34" s="31"/>
      <c r="D34" s="31"/>
      <c r="E34" s="32"/>
      <c r="F34" s="32"/>
      <c r="G34" s="33" t="e">
        <f>E34/F34</f>
        <v>#DIV/0!</v>
      </c>
      <c r="H34" s="34"/>
      <c r="I34" s="34"/>
      <c r="J34" s="35">
        <v>59149</v>
      </c>
      <c r="K34" s="35"/>
      <c r="L34" s="35">
        <v>58388</v>
      </c>
      <c r="M34" s="33">
        <f>J34/L34</f>
        <v>1.0130335000342536</v>
      </c>
      <c r="N34" s="37">
        <f>J34/J5*100</f>
        <v>33.931665117773264</v>
      </c>
      <c r="O34" s="37">
        <f>L34/L5*100</f>
        <v>36.40376582081177</v>
      </c>
      <c r="P34" s="35">
        <v>122315</v>
      </c>
      <c r="Q34" s="36">
        <v>122785</v>
      </c>
      <c r="R34" s="33">
        <f>P34/Q34</f>
        <v>0.996172170867777</v>
      </c>
      <c r="S34" s="37">
        <f>P34/P5*100</f>
        <v>33.05078333990845</v>
      </c>
      <c r="T34" s="37">
        <f>Q34/Q5*100</f>
        <v>38.68767231193383</v>
      </c>
      <c r="U34" s="35">
        <v>179829</v>
      </c>
      <c r="V34" s="35">
        <v>182272</v>
      </c>
      <c r="W34" s="33">
        <f>U34/V34</f>
        <v>0.986596954002809</v>
      </c>
      <c r="X34" s="37">
        <f>U34/U5*100</f>
        <v>31.04401912058432</v>
      </c>
      <c r="Y34" s="37">
        <f>V34/V5*100</f>
        <v>36.407070807949665</v>
      </c>
      <c r="Z34" s="35">
        <v>218598</v>
      </c>
      <c r="AA34" s="35">
        <v>222541</v>
      </c>
      <c r="AB34" s="33">
        <f>Z34/AA34</f>
        <v>0.9822819165906507</v>
      </c>
      <c r="AC34" s="37">
        <f>Z34/Z5*100</f>
        <v>28.23333397911541</v>
      </c>
      <c r="AD34" s="37">
        <f>AA34/AA5*100</f>
        <v>34.108409507519326</v>
      </c>
      <c r="AE34" s="35">
        <v>256610</v>
      </c>
      <c r="AF34" s="35">
        <v>257757</v>
      </c>
      <c r="AG34" s="33">
        <f>AE34/AF34</f>
        <v>0.99555007235497</v>
      </c>
      <c r="AH34" s="37">
        <f>AE34/AE5*100</f>
        <v>26.837109486119708</v>
      </c>
      <c r="AI34" s="37">
        <f>AF34/AF5*100</f>
        <v>31.852682102182854</v>
      </c>
      <c r="AJ34" s="35">
        <v>286624</v>
      </c>
      <c r="AK34" s="35">
        <v>292136</v>
      </c>
      <c r="AL34" s="33">
        <f>AJ34/AK34</f>
        <v>0.9811320754716981</v>
      </c>
      <c r="AM34" s="37">
        <f>AJ34/AJ5*100</f>
        <v>25.209903689696116</v>
      </c>
      <c r="AN34" s="37">
        <f>AK34/AK5*100</f>
        <v>29.690971438792914</v>
      </c>
      <c r="AO34" s="35"/>
      <c r="AP34" s="35"/>
      <c r="AQ34" s="33" t="e">
        <f>AO34/AP34</f>
        <v>#DIV/0!</v>
      </c>
      <c r="AR34" s="37" t="e">
        <f>AO34/AO5*100</f>
        <v>#DIV/0!</v>
      </c>
      <c r="AS34" s="37" t="e">
        <f>AP34/AP5*100</f>
        <v>#DIV/0!</v>
      </c>
      <c r="AT34" s="35"/>
      <c r="AU34" s="35"/>
      <c r="AV34" s="33" t="e">
        <f>AT34/AU34</f>
        <v>#DIV/0!</v>
      </c>
      <c r="AW34" s="37" t="e">
        <f>AT34/AT5*100</f>
        <v>#DIV/0!</v>
      </c>
      <c r="AX34" s="37" t="e">
        <f>AU34/AU5*100</f>
        <v>#DIV/0!</v>
      </c>
      <c r="AY34" s="35"/>
      <c r="AZ34" s="35"/>
      <c r="BA34" s="33" t="e">
        <f>AY34/AZ34</f>
        <v>#DIV/0!</v>
      </c>
      <c r="BB34" s="37" t="e">
        <f>AY34/AY5*100</f>
        <v>#DIV/0!</v>
      </c>
      <c r="BC34" s="37" t="e">
        <f>AZ34/AZ5*100</f>
        <v>#DIV/0!</v>
      </c>
      <c r="BD34" s="35"/>
      <c r="BE34" s="35"/>
      <c r="BF34" s="33" t="e">
        <f>BD34/BE34</f>
        <v>#DIV/0!</v>
      </c>
      <c r="BG34" s="37" t="e">
        <f>BD34/BD5*100</f>
        <v>#DIV/0!</v>
      </c>
      <c r="BH34" s="37" t="e">
        <f>BE34/BE5*100</f>
        <v>#DIV/0!</v>
      </c>
      <c r="BI34" s="35"/>
      <c r="BJ34" s="35"/>
      <c r="BK34" s="33" t="e">
        <f>BI34/BJ34</f>
        <v>#DIV/0!</v>
      </c>
      <c r="BL34" s="37" t="e">
        <f>BI34/BI5*100</f>
        <v>#DIV/0!</v>
      </c>
      <c r="BM34" s="37" t="e">
        <f>BJ34/BJ5*100</f>
        <v>#DIV/0!</v>
      </c>
      <c r="BN34" s="35"/>
      <c r="BO34" s="35"/>
      <c r="BP34" s="33" t="e">
        <f>BN34/BO34</f>
        <v>#DIV/0!</v>
      </c>
      <c r="BQ34" s="37" t="e">
        <f>BN34/BN5*100</f>
        <v>#DIV/0!</v>
      </c>
      <c r="BR34" s="37" t="e">
        <f>BO34/BO5*100</f>
        <v>#DIV/0!</v>
      </c>
    </row>
    <row r="35" spans="1:70" s="8" customFormat="1" ht="19.5" customHeight="1">
      <c r="A35" s="20"/>
      <c r="B35" s="21" t="s">
        <v>37</v>
      </c>
      <c r="C35" s="31"/>
      <c r="D35" s="31"/>
      <c r="E35" s="32"/>
      <c r="F35" s="32"/>
      <c r="G35" s="33"/>
      <c r="H35" s="34"/>
      <c r="I35" s="34"/>
      <c r="J35" s="35"/>
      <c r="K35" s="35"/>
      <c r="L35" s="35"/>
      <c r="M35" s="33"/>
      <c r="N35" s="37"/>
      <c r="O35" s="37"/>
      <c r="P35" s="44">
        <f>P34/Q34*100</f>
        <v>99.6172170867777</v>
      </c>
      <c r="Q35" s="45"/>
      <c r="R35" s="33"/>
      <c r="S35" s="37"/>
      <c r="T35" s="37"/>
      <c r="U35" s="35">
        <f>U34/V34*100</f>
        <v>98.6596954002809</v>
      </c>
      <c r="V35" s="35"/>
      <c r="W35" s="33"/>
      <c r="X35" s="37"/>
      <c r="Y35" s="37"/>
      <c r="Z35" s="35"/>
      <c r="AA35" s="35"/>
      <c r="AB35" s="33"/>
      <c r="AC35" s="37"/>
      <c r="AD35" s="37"/>
      <c r="AE35" s="35"/>
      <c r="AF35" s="35"/>
      <c r="AG35" s="33"/>
      <c r="AH35" s="37"/>
      <c r="AI35" s="37"/>
      <c r="AJ35" s="35"/>
      <c r="AK35" s="35"/>
      <c r="AL35" s="33"/>
      <c r="AM35" s="37"/>
      <c r="AN35" s="37"/>
      <c r="AO35" s="35"/>
      <c r="AP35" s="35"/>
      <c r="AQ35" s="33"/>
      <c r="AR35" s="37"/>
      <c r="AS35" s="37"/>
      <c r="AT35" s="35"/>
      <c r="AU35" s="35"/>
      <c r="AV35" s="33"/>
      <c r="AW35" s="37"/>
      <c r="AX35" s="37"/>
      <c r="AY35" s="35"/>
      <c r="AZ35" s="35"/>
      <c r="BA35" s="33"/>
      <c r="BB35" s="37"/>
      <c r="BC35" s="37"/>
      <c r="BD35" s="35"/>
      <c r="BE35" s="35"/>
      <c r="BF35" s="33"/>
      <c r="BG35" s="37"/>
      <c r="BH35" s="37"/>
      <c r="BI35" s="35"/>
      <c r="BJ35" s="35"/>
      <c r="BK35" s="33"/>
      <c r="BL35" s="37"/>
      <c r="BM35" s="37"/>
      <c r="BN35" s="35"/>
      <c r="BO35" s="35"/>
      <c r="BP35" s="33"/>
      <c r="BQ35" s="37"/>
      <c r="BR35" s="37"/>
    </row>
    <row r="36" spans="1:70" s="8" customFormat="1" ht="43.5" customHeight="1">
      <c r="A36" s="20">
        <v>2</v>
      </c>
      <c r="B36" s="50" t="s">
        <v>61</v>
      </c>
      <c r="C36" s="31"/>
      <c r="D36" s="31"/>
      <c r="E36" s="32"/>
      <c r="F36" s="32"/>
      <c r="G36" s="33"/>
      <c r="H36" s="34"/>
      <c r="I36" s="34"/>
      <c r="J36" s="32"/>
      <c r="K36" s="32"/>
      <c r="L36" s="32"/>
      <c r="M36" s="33"/>
      <c r="N36" s="37"/>
      <c r="O36" s="37"/>
      <c r="P36" s="32"/>
      <c r="Q36" s="32"/>
      <c r="R36" s="33"/>
      <c r="S36" s="37"/>
      <c r="T36" s="37"/>
      <c r="U36" s="32"/>
      <c r="V36" s="32"/>
      <c r="W36" s="33"/>
      <c r="X36" s="37"/>
      <c r="Y36" s="37"/>
      <c r="Z36" s="32"/>
      <c r="AA36" s="32"/>
      <c r="AB36" s="33"/>
      <c r="AC36" s="37"/>
      <c r="AD36" s="37"/>
      <c r="AE36" s="32"/>
      <c r="AF36" s="32"/>
      <c r="AG36" s="33"/>
      <c r="AH36" s="37"/>
      <c r="AI36" s="37"/>
      <c r="AJ36" s="32"/>
      <c r="AK36" s="32"/>
      <c r="AL36" s="33"/>
      <c r="AM36" s="37"/>
      <c r="AN36" s="37"/>
      <c r="AO36" s="32"/>
      <c r="AP36" s="32"/>
      <c r="AQ36" s="33"/>
      <c r="AR36" s="37"/>
      <c r="AS36" s="37"/>
      <c r="AT36" s="32"/>
      <c r="AU36" s="32"/>
      <c r="AV36" s="33"/>
      <c r="AW36" s="37"/>
      <c r="AX36" s="37"/>
      <c r="AY36" s="32"/>
      <c r="AZ36" s="32"/>
      <c r="BA36" s="33"/>
      <c r="BB36" s="37"/>
      <c r="BC36" s="37"/>
      <c r="BD36" s="32"/>
      <c r="BE36" s="32"/>
      <c r="BF36" s="33"/>
      <c r="BG36" s="37"/>
      <c r="BH36" s="37"/>
      <c r="BI36" s="32"/>
      <c r="BJ36" s="32"/>
      <c r="BK36" s="33"/>
      <c r="BL36" s="37"/>
      <c r="BM36" s="37"/>
      <c r="BN36" s="32"/>
      <c r="BO36" s="32"/>
      <c r="BP36" s="33"/>
      <c r="BQ36" s="37"/>
      <c r="BR36" s="37"/>
    </row>
    <row r="37" spans="1:70" s="8" customFormat="1" ht="19.5" customHeight="1">
      <c r="A37" s="20"/>
      <c r="B37" s="51" t="s">
        <v>113</v>
      </c>
      <c r="C37" s="31"/>
      <c r="D37" s="31"/>
      <c r="E37" s="32"/>
      <c r="F37" s="32"/>
      <c r="G37" s="33"/>
      <c r="H37" s="34"/>
      <c r="I37" s="34"/>
      <c r="J37" s="32">
        <v>14</v>
      </c>
      <c r="K37" s="32"/>
      <c r="L37" s="32">
        <v>29.7</v>
      </c>
      <c r="M37" s="33"/>
      <c r="N37" s="37"/>
      <c r="O37" s="37"/>
      <c r="P37" s="32">
        <v>52.3</v>
      </c>
      <c r="Q37" s="32">
        <v>46.9</v>
      </c>
      <c r="R37" s="33"/>
      <c r="S37" s="37"/>
      <c r="T37" s="37"/>
      <c r="U37" s="32">
        <v>78.5</v>
      </c>
      <c r="V37" s="32">
        <v>79.2</v>
      </c>
      <c r="W37" s="33"/>
      <c r="X37" s="37"/>
      <c r="Y37" s="37"/>
      <c r="Z37" s="32">
        <v>99.5</v>
      </c>
      <c r="AA37" s="32">
        <v>99.5</v>
      </c>
      <c r="AB37" s="33"/>
      <c r="AC37" s="37"/>
      <c r="AD37" s="37"/>
      <c r="AE37" s="32">
        <v>116</v>
      </c>
      <c r="AF37" s="32">
        <v>141.5</v>
      </c>
      <c r="AG37" s="33"/>
      <c r="AH37" s="37"/>
      <c r="AI37" s="37"/>
      <c r="AJ37" s="32">
        <v>116</v>
      </c>
      <c r="AK37" s="32">
        <v>188.9</v>
      </c>
      <c r="AL37" s="33"/>
      <c r="AM37" s="37"/>
      <c r="AN37" s="37"/>
      <c r="AO37" s="32"/>
      <c r="AP37" s="32"/>
      <c r="AQ37" s="33"/>
      <c r="AR37" s="37"/>
      <c r="AS37" s="37"/>
      <c r="AT37" s="32"/>
      <c r="AU37" s="32"/>
      <c r="AV37" s="33"/>
      <c r="AW37" s="37"/>
      <c r="AX37" s="37"/>
      <c r="AY37" s="32"/>
      <c r="AZ37" s="32"/>
      <c r="BA37" s="33"/>
      <c r="BB37" s="37"/>
      <c r="BC37" s="37"/>
      <c r="BD37" s="32"/>
      <c r="BE37" s="32"/>
      <c r="BF37" s="33"/>
      <c r="BG37" s="37"/>
      <c r="BH37" s="37"/>
      <c r="BI37" s="32"/>
      <c r="BJ37" s="32"/>
      <c r="BK37" s="33"/>
      <c r="BL37" s="37"/>
      <c r="BM37" s="37"/>
      <c r="BN37" s="32"/>
      <c r="BO37" s="32"/>
      <c r="BP37" s="33"/>
      <c r="BQ37" s="37"/>
      <c r="BR37" s="37"/>
    </row>
    <row r="38" spans="1:70" s="8" customFormat="1" ht="21.75" customHeight="1">
      <c r="A38" s="20"/>
      <c r="B38" s="51" t="s">
        <v>114</v>
      </c>
      <c r="C38" s="31"/>
      <c r="D38" s="31"/>
      <c r="E38" s="32"/>
      <c r="F38" s="32"/>
      <c r="G38" s="33"/>
      <c r="H38" s="34"/>
      <c r="I38" s="34"/>
      <c r="J38" s="32">
        <v>14</v>
      </c>
      <c r="K38" s="32"/>
      <c r="L38" s="32">
        <v>29.7</v>
      </c>
      <c r="M38" s="33"/>
      <c r="N38" s="37"/>
      <c r="O38" s="37"/>
      <c r="P38" s="32">
        <v>53.2</v>
      </c>
      <c r="Q38" s="32">
        <v>46.9</v>
      </c>
      <c r="R38" s="33"/>
      <c r="S38" s="37"/>
      <c r="T38" s="37"/>
      <c r="U38" s="32">
        <v>78.5</v>
      </c>
      <c r="V38" s="32">
        <v>79.2</v>
      </c>
      <c r="W38" s="33"/>
      <c r="X38" s="37"/>
      <c r="Y38" s="37"/>
      <c r="Z38" s="32">
        <v>99.5</v>
      </c>
      <c r="AA38" s="32">
        <v>99.5</v>
      </c>
      <c r="AB38" s="33"/>
      <c r="AC38" s="37"/>
      <c r="AD38" s="37"/>
      <c r="AE38" s="32">
        <v>116</v>
      </c>
      <c r="AF38" s="32">
        <v>141.5</v>
      </c>
      <c r="AG38" s="33"/>
      <c r="AH38" s="37"/>
      <c r="AI38" s="37"/>
      <c r="AJ38" s="32">
        <v>116</v>
      </c>
      <c r="AK38" s="32">
        <v>188.9</v>
      </c>
      <c r="AL38" s="33"/>
      <c r="AM38" s="37"/>
      <c r="AN38" s="37"/>
      <c r="AO38" s="32"/>
      <c r="AP38" s="32"/>
      <c r="AQ38" s="33"/>
      <c r="AR38" s="37"/>
      <c r="AS38" s="37"/>
      <c r="AT38" s="32"/>
      <c r="AU38" s="32"/>
      <c r="AV38" s="33"/>
      <c r="AW38" s="37"/>
      <c r="AX38" s="37"/>
      <c r="AY38" s="32"/>
      <c r="AZ38" s="32"/>
      <c r="BA38" s="33"/>
      <c r="BB38" s="37"/>
      <c r="BC38" s="37"/>
      <c r="BD38" s="32"/>
      <c r="BE38" s="32"/>
      <c r="BF38" s="33"/>
      <c r="BG38" s="37"/>
      <c r="BH38" s="37"/>
      <c r="BI38" s="32"/>
      <c r="BJ38" s="32"/>
      <c r="BK38" s="33"/>
      <c r="BL38" s="37"/>
      <c r="BM38" s="37"/>
      <c r="BN38" s="32"/>
      <c r="BO38" s="32"/>
      <c r="BP38" s="33"/>
      <c r="BQ38" s="37"/>
      <c r="BR38" s="37"/>
    </row>
    <row r="39" spans="1:70" s="8" customFormat="1" ht="18" customHeight="1">
      <c r="A39" s="20"/>
      <c r="B39" s="51" t="s">
        <v>115</v>
      </c>
      <c r="C39" s="31"/>
      <c r="D39" s="31"/>
      <c r="E39" s="32"/>
      <c r="F39" s="32"/>
      <c r="G39" s="33"/>
      <c r="H39" s="34"/>
      <c r="I39" s="34"/>
      <c r="J39" s="32">
        <v>14</v>
      </c>
      <c r="K39" s="32"/>
      <c r="L39" s="32">
        <v>29.7</v>
      </c>
      <c r="M39" s="33"/>
      <c r="N39" s="37"/>
      <c r="O39" s="37"/>
      <c r="P39" s="32">
        <v>53.2</v>
      </c>
      <c r="Q39" s="32">
        <v>46.9</v>
      </c>
      <c r="R39" s="33"/>
      <c r="S39" s="37"/>
      <c r="T39" s="37"/>
      <c r="U39" s="32">
        <v>78.5</v>
      </c>
      <c r="V39" s="32">
        <v>79.2</v>
      </c>
      <c r="W39" s="33"/>
      <c r="X39" s="37"/>
      <c r="Y39" s="37"/>
      <c r="Z39" s="32">
        <v>99.5</v>
      </c>
      <c r="AA39" s="32">
        <v>99.5</v>
      </c>
      <c r="AB39" s="33"/>
      <c r="AC39" s="37"/>
      <c r="AD39" s="37"/>
      <c r="AE39" s="32">
        <v>116</v>
      </c>
      <c r="AF39" s="32">
        <v>141.5</v>
      </c>
      <c r="AG39" s="33"/>
      <c r="AH39" s="37"/>
      <c r="AI39" s="37"/>
      <c r="AJ39" s="32">
        <v>116</v>
      </c>
      <c r="AK39" s="32">
        <v>188.9</v>
      </c>
      <c r="AL39" s="33"/>
      <c r="AM39" s="37"/>
      <c r="AN39" s="37"/>
      <c r="AO39" s="32"/>
      <c r="AP39" s="32"/>
      <c r="AQ39" s="33"/>
      <c r="AR39" s="37"/>
      <c r="AS39" s="37"/>
      <c r="AT39" s="32"/>
      <c r="AU39" s="32"/>
      <c r="AV39" s="33"/>
      <c r="AW39" s="37"/>
      <c r="AX39" s="37"/>
      <c r="AY39" s="32"/>
      <c r="AZ39" s="32"/>
      <c r="BA39" s="33"/>
      <c r="BB39" s="37"/>
      <c r="BC39" s="37"/>
      <c r="BD39" s="32"/>
      <c r="BE39" s="32"/>
      <c r="BF39" s="33"/>
      <c r="BG39" s="37"/>
      <c r="BH39" s="37"/>
      <c r="BI39" s="32"/>
      <c r="BJ39" s="32"/>
      <c r="BK39" s="33"/>
      <c r="BL39" s="37"/>
      <c r="BM39" s="37"/>
      <c r="BN39" s="32"/>
      <c r="BO39" s="32"/>
      <c r="BP39" s="33"/>
      <c r="BQ39" s="37"/>
      <c r="BR39" s="37"/>
    </row>
    <row r="40" spans="1:70" s="8" customFormat="1" ht="27" customHeight="1">
      <c r="A40" s="20"/>
      <c r="B40" s="51" t="s">
        <v>62</v>
      </c>
      <c r="C40" s="31"/>
      <c r="D40" s="31"/>
      <c r="E40" s="32"/>
      <c r="F40" s="32"/>
      <c r="G40" s="33"/>
      <c r="H40" s="34"/>
      <c r="I40" s="34"/>
      <c r="J40" s="32"/>
      <c r="K40" s="32"/>
      <c r="L40" s="32"/>
      <c r="M40" s="33"/>
      <c r="N40" s="37"/>
      <c r="O40" s="37"/>
      <c r="P40" s="32"/>
      <c r="Q40" s="32"/>
      <c r="R40" s="33"/>
      <c r="S40" s="37"/>
      <c r="T40" s="37"/>
      <c r="U40" s="32"/>
      <c r="V40" s="32"/>
      <c r="W40" s="33"/>
      <c r="X40" s="37"/>
      <c r="Y40" s="37"/>
      <c r="Z40" s="52">
        <v>0.96</v>
      </c>
      <c r="AA40" s="32"/>
      <c r="AB40" s="33"/>
      <c r="AC40" s="37"/>
      <c r="AD40" s="37"/>
      <c r="AE40" s="53">
        <v>1.94</v>
      </c>
      <c r="AF40" s="32"/>
      <c r="AG40" s="33"/>
      <c r="AH40" s="37"/>
      <c r="AI40" s="37"/>
      <c r="AJ40" s="52">
        <v>3.74</v>
      </c>
      <c r="AK40" s="32"/>
      <c r="AL40" s="33"/>
      <c r="AM40" s="37"/>
      <c r="AN40" s="37"/>
      <c r="AO40" s="32"/>
      <c r="AP40" s="32"/>
      <c r="AQ40" s="33"/>
      <c r="AR40" s="37"/>
      <c r="AS40" s="37"/>
      <c r="AT40" s="32"/>
      <c r="AU40" s="32"/>
      <c r="AV40" s="33"/>
      <c r="AW40" s="37"/>
      <c r="AX40" s="37"/>
      <c r="AY40" s="32"/>
      <c r="AZ40" s="32"/>
      <c r="BA40" s="33"/>
      <c r="BB40" s="37"/>
      <c r="BC40" s="37"/>
      <c r="BD40" s="32"/>
      <c r="BE40" s="32"/>
      <c r="BF40" s="33"/>
      <c r="BG40" s="37"/>
      <c r="BH40" s="37"/>
      <c r="BI40" s="32"/>
      <c r="BJ40" s="32"/>
      <c r="BK40" s="33"/>
      <c r="BL40" s="37"/>
      <c r="BM40" s="37"/>
      <c r="BN40" s="32"/>
      <c r="BO40" s="32"/>
      <c r="BP40" s="33"/>
      <c r="BQ40" s="37"/>
      <c r="BR40" s="37"/>
    </row>
    <row r="41" spans="1:70" s="8" customFormat="1" ht="16.5" customHeight="1">
      <c r="A41" s="20"/>
      <c r="B41" s="51" t="s">
        <v>63</v>
      </c>
      <c r="C41" s="31"/>
      <c r="D41" s="31"/>
      <c r="E41" s="32"/>
      <c r="F41" s="32"/>
      <c r="G41" s="33"/>
      <c r="H41" s="34"/>
      <c r="I41" s="34"/>
      <c r="J41" s="32"/>
      <c r="K41" s="32"/>
      <c r="L41" s="32"/>
      <c r="M41" s="33"/>
      <c r="N41" s="37"/>
      <c r="O41" s="37"/>
      <c r="P41" s="32"/>
      <c r="Q41" s="32"/>
      <c r="R41" s="33"/>
      <c r="S41" s="37"/>
      <c r="T41" s="37"/>
      <c r="U41" s="32"/>
      <c r="V41" s="32"/>
      <c r="W41" s="33"/>
      <c r="X41" s="37"/>
      <c r="Y41" s="37"/>
      <c r="Z41" s="52">
        <v>0.96</v>
      </c>
      <c r="AA41" s="32"/>
      <c r="AB41" s="33"/>
      <c r="AC41" s="37"/>
      <c r="AD41" s="37"/>
      <c r="AE41" s="53">
        <v>1.94</v>
      </c>
      <c r="AF41" s="32"/>
      <c r="AG41" s="33"/>
      <c r="AH41" s="37"/>
      <c r="AI41" s="37"/>
      <c r="AJ41" s="52">
        <v>3.74</v>
      </c>
      <c r="AK41" s="32"/>
      <c r="AL41" s="33"/>
      <c r="AM41" s="37"/>
      <c r="AN41" s="37"/>
      <c r="AO41" s="32"/>
      <c r="AP41" s="32"/>
      <c r="AQ41" s="33"/>
      <c r="AR41" s="37"/>
      <c r="AS41" s="37"/>
      <c r="AT41" s="32"/>
      <c r="AU41" s="32"/>
      <c r="AV41" s="33"/>
      <c r="AW41" s="37"/>
      <c r="AX41" s="37"/>
      <c r="AY41" s="32"/>
      <c r="AZ41" s="32"/>
      <c r="BA41" s="33"/>
      <c r="BB41" s="37"/>
      <c r="BC41" s="37"/>
      <c r="BD41" s="32"/>
      <c r="BE41" s="32"/>
      <c r="BF41" s="33"/>
      <c r="BG41" s="37"/>
      <c r="BH41" s="37"/>
      <c r="BI41" s="32"/>
      <c r="BJ41" s="32"/>
      <c r="BK41" s="33"/>
      <c r="BL41" s="37"/>
      <c r="BM41" s="37"/>
      <c r="BN41" s="32"/>
      <c r="BO41" s="32"/>
      <c r="BP41" s="33"/>
      <c r="BQ41" s="37"/>
      <c r="BR41" s="37"/>
    </row>
    <row r="42" spans="1:70" s="8" customFormat="1" ht="20.25" customHeight="1">
      <c r="A42" s="20"/>
      <c r="B42" s="51" t="s">
        <v>64</v>
      </c>
      <c r="C42" s="31"/>
      <c r="D42" s="31"/>
      <c r="E42" s="32"/>
      <c r="F42" s="32"/>
      <c r="G42" s="33"/>
      <c r="H42" s="34"/>
      <c r="I42" s="34"/>
      <c r="J42" s="32"/>
      <c r="K42" s="32"/>
      <c r="L42" s="32"/>
      <c r="M42" s="33"/>
      <c r="N42" s="37"/>
      <c r="O42" s="37"/>
      <c r="P42" s="32"/>
      <c r="Q42" s="32"/>
      <c r="R42" s="33"/>
      <c r="S42" s="37"/>
      <c r="T42" s="37"/>
      <c r="U42" s="32">
        <v>17</v>
      </c>
      <c r="V42" s="32"/>
      <c r="W42" s="33"/>
      <c r="X42" s="37"/>
      <c r="Y42" s="37"/>
      <c r="Z42" s="32">
        <v>20.4</v>
      </c>
      <c r="AA42" s="32"/>
      <c r="AB42" s="33"/>
      <c r="AC42" s="37"/>
      <c r="AD42" s="37"/>
      <c r="AE42" s="32">
        <v>20.4</v>
      </c>
      <c r="AF42" s="32"/>
      <c r="AG42" s="33"/>
      <c r="AH42" s="37"/>
      <c r="AI42" s="37"/>
      <c r="AJ42" s="32">
        <v>20.4</v>
      </c>
      <c r="AK42" s="32"/>
      <c r="AL42" s="33"/>
      <c r="AM42" s="37"/>
      <c r="AN42" s="37"/>
      <c r="AO42" s="32"/>
      <c r="AP42" s="32"/>
      <c r="AQ42" s="33"/>
      <c r="AR42" s="37"/>
      <c r="AS42" s="37"/>
      <c r="AT42" s="32"/>
      <c r="AU42" s="32"/>
      <c r="AV42" s="33"/>
      <c r="AW42" s="37"/>
      <c r="AX42" s="37"/>
      <c r="AY42" s="32"/>
      <c r="AZ42" s="32"/>
      <c r="BA42" s="33"/>
      <c r="BB42" s="37"/>
      <c r="BC42" s="37"/>
      <c r="BD42" s="32"/>
      <c r="BE42" s="32"/>
      <c r="BF42" s="33"/>
      <c r="BG42" s="37"/>
      <c r="BH42" s="37"/>
      <c r="BI42" s="32"/>
      <c r="BJ42" s="32"/>
      <c r="BK42" s="33"/>
      <c r="BL42" s="37"/>
      <c r="BM42" s="37"/>
      <c r="BN42" s="32"/>
      <c r="BO42" s="32"/>
      <c r="BP42" s="33"/>
      <c r="BQ42" s="37"/>
      <c r="BR42" s="37"/>
    </row>
    <row r="43" spans="1:70" s="8" customFormat="1" ht="18" customHeight="1">
      <c r="A43" s="20"/>
      <c r="B43" s="51" t="s">
        <v>65</v>
      </c>
      <c r="C43" s="31"/>
      <c r="D43" s="31"/>
      <c r="E43" s="32"/>
      <c r="F43" s="32"/>
      <c r="G43" s="33"/>
      <c r="H43" s="34"/>
      <c r="I43" s="34"/>
      <c r="J43" s="32"/>
      <c r="K43" s="32"/>
      <c r="L43" s="32"/>
      <c r="M43" s="33"/>
      <c r="N43" s="37"/>
      <c r="O43" s="37"/>
      <c r="P43" s="32"/>
      <c r="Q43" s="32"/>
      <c r="R43" s="33"/>
      <c r="S43" s="37"/>
      <c r="T43" s="37"/>
      <c r="U43" s="32">
        <v>17</v>
      </c>
      <c r="V43" s="32"/>
      <c r="W43" s="33"/>
      <c r="X43" s="37"/>
      <c r="Y43" s="37"/>
      <c r="Z43" s="32">
        <v>20.4</v>
      </c>
      <c r="AA43" s="32"/>
      <c r="AB43" s="33"/>
      <c r="AC43" s="37"/>
      <c r="AD43" s="37"/>
      <c r="AE43" s="32"/>
      <c r="AF43" s="32"/>
      <c r="AG43" s="33"/>
      <c r="AH43" s="37"/>
      <c r="AI43" s="37"/>
      <c r="AJ43" s="32">
        <v>20.4</v>
      </c>
      <c r="AK43" s="32"/>
      <c r="AL43" s="33"/>
      <c r="AM43" s="37"/>
      <c r="AN43" s="37"/>
      <c r="AO43" s="32"/>
      <c r="AP43" s="32"/>
      <c r="AQ43" s="33"/>
      <c r="AR43" s="37"/>
      <c r="AS43" s="37"/>
      <c r="AT43" s="32"/>
      <c r="AU43" s="32"/>
      <c r="AV43" s="33"/>
      <c r="AW43" s="37"/>
      <c r="AX43" s="37"/>
      <c r="AY43" s="32"/>
      <c r="AZ43" s="32"/>
      <c r="BA43" s="33"/>
      <c r="BB43" s="37"/>
      <c r="BC43" s="37"/>
      <c r="BD43" s="32"/>
      <c r="BE43" s="32"/>
      <c r="BF43" s="33"/>
      <c r="BG43" s="37"/>
      <c r="BH43" s="37"/>
      <c r="BI43" s="32"/>
      <c r="BJ43" s="32"/>
      <c r="BK43" s="33"/>
      <c r="BL43" s="37"/>
      <c r="BM43" s="37"/>
      <c r="BN43" s="32"/>
      <c r="BO43" s="32"/>
      <c r="BP43" s="33"/>
      <c r="BQ43" s="37"/>
      <c r="BR43" s="37"/>
    </row>
    <row r="44" spans="1:70" s="8" customFormat="1" ht="13.5" customHeight="1">
      <c r="A44" s="20"/>
      <c r="B44" s="51" t="s">
        <v>66</v>
      </c>
      <c r="C44" s="31"/>
      <c r="D44" s="31"/>
      <c r="E44" s="32"/>
      <c r="F44" s="32"/>
      <c r="G44" s="33"/>
      <c r="H44" s="34"/>
      <c r="I44" s="34"/>
      <c r="J44" s="32"/>
      <c r="K44" s="32"/>
      <c r="L44" s="32"/>
      <c r="M44" s="33"/>
      <c r="N44" s="37"/>
      <c r="O44" s="37"/>
      <c r="P44" s="32"/>
      <c r="Q44" s="32"/>
      <c r="R44" s="33"/>
      <c r="S44" s="37"/>
      <c r="T44" s="37"/>
      <c r="U44" s="32">
        <v>13</v>
      </c>
      <c r="V44" s="32"/>
      <c r="W44" s="33"/>
      <c r="X44" s="37"/>
      <c r="Y44" s="37"/>
      <c r="Z44" s="32">
        <v>15.2</v>
      </c>
      <c r="AA44" s="32"/>
      <c r="AB44" s="33"/>
      <c r="AC44" s="37"/>
      <c r="AD44" s="37"/>
      <c r="AE44" s="32">
        <v>15.2</v>
      </c>
      <c r="AF44" s="32"/>
      <c r="AG44" s="33"/>
      <c r="AH44" s="37"/>
      <c r="AI44" s="37"/>
      <c r="AJ44" s="32">
        <v>15.2</v>
      </c>
      <c r="AK44" s="32"/>
      <c r="AL44" s="33"/>
      <c r="AM44" s="37"/>
      <c r="AN44" s="37"/>
      <c r="AO44" s="32"/>
      <c r="AP44" s="32"/>
      <c r="AQ44" s="33"/>
      <c r="AR44" s="37"/>
      <c r="AS44" s="37"/>
      <c r="AT44" s="32"/>
      <c r="AU44" s="32"/>
      <c r="AV44" s="33"/>
      <c r="AW44" s="37"/>
      <c r="AX44" s="37"/>
      <c r="AY44" s="32"/>
      <c r="AZ44" s="32"/>
      <c r="BA44" s="33"/>
      <c r="BB44" s="37"/>
      <c r="BC44" s="37"/>
      <c r="BD44" s="32"/>
      <c r="BE44" s="32"/>
      <c r="BF44" s="33"/>
      <c r="BG44" s="37"/>
      <c r="BH44" s="37"/>
      <c r="BI44" s="32"/>
      <c r="BJ44" s="32"/>
      <c r="BK44" s="33"/>
      <c r="BL44" s="37"/>
      <c r="BM44" s="37"/>
      <c r="BN44" s="32"/>
      <c r="BO44" s="32"/>
      <c r="BP44" s="33"/>
      <c r="BQ44" s="37"/>
      <c r="BR44" s="37"/>
    </row>
    <row r="45" spans="1:70" s="8" customFormat="1" ht="12" customHeight="1">
      <c r="A45" s="20"/>
      <c r="B45" s="51" t="s">
        <v>67</v>
      </c>
      <c r="C45" s="31"/>
      <c r="D45" s="31"/>
      <c r="E45" s="32"/>
      <c r="F45" s="32"/>
      <c r="G45" s="33"/>
      <c r="H45" s="34"/>
      <c r="I45" s="34"/>
      <c r="J45" s="32"/>
      <c r="K45" s="32"/>
      <c r="L45" s="32"/>
      <c r="M45" s="33"/>
      <c r="N45" s="37"/>
      <c r="O45" s="37"/>
      <c r="P45" s="32"/>
      <c r="Q45" s="32"/>
      <c r="R45" s="33"/>
      <c r="S45" s="37"/>
      <c r="T45" s="37"/>
      <c r="U45" s="32">
        <v>4</v>
      </c>
      <c r="V45" s="32"/>
      <c r="W45" s="33"/>
      <c r="X45" s="37"/>
      <c r="Y45" s="37"/>
      <c r="Z45" s="32">
        <v>5.2</v>
      </c>
      <c r="AA45" s="32"/>
      <c r="AB45" s="33"/>
      <c r="AC45" s="37"/>
      <c r="AD45" s="37"/>
      <c r="AE45" s="32">
        <v>5.2</v>
      </c>
      <c r="AF45" s="32"/>
      <c r="AG45" s="33"/>
      <c r="AH45" s="37"/>
      <c r="AI45" s="37"/>
      <c r="AJ45" s="32">
        <v>5.2</v>
      </c>
      <c r="AK45" s="32"/>
      <c r="AL45" s="33"/>
      <c r="AM45" s="37"/>
      <c r="AN45" s="37"/>
      <c r="AO45" s="32"/>
      <c r="AP45" s="32"/>
      <c r="AQ45" s="33"/>
      <c r="AR45" s="37"/>
      <c r="AS45" s="37"/>
      <c r="AT45" s="32"/>
      <c r="AU45" s="32"/>
      <c r="AV45" s="33"/>
      <c r="AW45" s="37"/>
      <c r="AX45" s="37"/>
      <c r="AY45" s="32"/>
      <c r="AZ45" s="32"/>
      <c r="BA45" s="33"/>
      <c r="BB45" s="37"/>
      <c r="BC45" s="37"/>
      <c r="BD45" s="32"/>
      <c r="BE45" s="32"/>
      <c r="BF45" s="33"/>
      <c r="BG45" s="37"/>
      <c r="BH45" s="37"/>
      <c r="BI45" s="32"/>
      <c r="BJ45" s="32"/>
      <c r="BK45" s="33"/>
      <c r="BL45" s="37"/>
      <c r="BM45" s="37"/>
      <c r="BN45" s="32"/>
      <c r="BO45" s="32"/>
      <c r="BP45" s="33"/>
      <c r="BQ45" s="37"/>
      <c r="BR45" s="37"/>
    </row>
    <row r="46" spans="1:70" s="8" customFormat="1" ht="14.25" customHeight="1">
      <c r="A46" s="20"/>
      <c r="B46" s="51" t="s">
        <v>124</v>
      </c>
      <c r="C46" s="31"/>
      <c r="D46" s="31"/>
      <c r="E46" s="32"/>
      <c r="F46" s="32"/>
      <c r="G46" s="33"/>
      <c r="H46" s="34"/>
      <c r="I46" s="34"/>
      <c r="J46" s="35">
        <v>38079</v>
      </c>
      <c r="K46" s="35"/>
      <c r="L46" s="35">
        <v>27085</v>
      </c>
      <c r="M46" s="33"/>
      <c r="N46" s="37"/>
      <c r="O46" s="37"/>
      <c r="P46" s="35">
        <v>78730</v>
      </c>
      <c r="Q46" s="35">
        <v>56055</v>
      </c>
      <c r="R46" s="33"/>
      <c r="S46" s="37"/>
      <c r="T46" s="37"/>
      <c r="U46" s="52">
        <v>122835</v>
      </c>
      <c r="V46" s="52">
        <v>87658</v>
      </c>
      <c r="W46" s="33"/>
      <c r="X46" s="37"/>
      <c r="Y46" s="37"/>
      <c r="Z46" s="52">
        <v>117556</v>
      </c>
      <c r="AA46" s="52">
        <v>112569</v>
      </c>
      <c r="AB46" s="33"/>
      <c r="AC46" s="37"/>
      <c r="AD46" s="37"/>
      <c r="AE46" s="52">
        <v>195811</v>
      </c>
      <c r="AF46" s="52">
        <v>148175</v>
      </c>
      <c r="AG46" s="33"/>
      <c r="AH46" s="37"/>
      <c r="AI46" s="37"/>
      <c r="AJ46" s="35">
        <v>239871</v>
      </c>
      <c r="AK46" s="35">
        <v>177588</v>
      </c>
      <c r="AL46" s="33"/>
      <c r="AM46" s="37"/>
      <c r="AN46" s="37"/>
      <c r="AO46" s="35"/>
      <c r="AP46" s="35"/>
      <c r="AQ46" s="33"/>
      <c r="AR46" s="37"/>
      <c r="AS46" s="37"/>
      <c r="AT46" s="52"/>
      <c r="AU46" s="52"/>
      <c r="AV46" s="33"/>
      <c r="AW46" s="37"/>
      <c r="AX46" s="37"/>
      <c r="AY46" s="52"/>
      <c r="AZ46" s="52"/>
      <c r="BA46" s="33"/>
      <c r="BB46" s="37"/>
      <c r="BC46" s="37"/>
      <c r="BD46" s="52"/>
      <c r="BE46" s="52"/>
      <c r="BF46" s="33"/>
      <c r="BG46" s="37"/>
      <c r="BH46" s="37"/>
      <c r="BI46" s="52"/>
      <c r="BJ46" s="52"/>
      <c r="BK46" s="33"/>
      <c r="BL46" s="37"/>
      <c r="BM46" s="37"/>
      <c r="BN46" s="52"/>
      <c r="BO46" s="52"/>
      <c r="BP46" s="33"/>
      <c r="BQ46" s="37"/>
      <c r="BR46" s="37"/>
    </row>
    <row r="47" spans="1:70" s="8" customFormat="1" ht="15.75" customHeight="1">
      <c r="A47" s="20"/>
      <c r="B47" s="51" t="s">
        <v>116</v>
      </c>
      <c r="C47" s="31"/>
      <c r="D47" s="31"/>
      <c r="E47" s="32"/>
      <c r="F47" s="32"/>
      <c r="G47" s="33"/>
      <c r="H47" s="34"/>
      <c r="I47" s="34"/>
      <c r="J47" s="53"/>
      <c r="K47" s="53"/>
      <c r="L47" s="53">
        <v>0.07</v>
      </c>
      <c r="M47" s="33"/>
      <c r="N47" s="37"/>
      <c r="O47" s="37"/>
      <c r="P47" s="53"/>
      <c r="Q47" s="53">
        <v>0.07</v>
      </c>
      <c r="R47" s="33"/>
      <c r="S47" s="37"/>
      <c r="T47" s="37"/>
      <c r="U47" s="53"/>
      <c r="V47" s="53">
        <v>0.07</v>
      </c>
      <c r="W47" s="33"/>
      <c r="X47" s="37"/>
      <c r="Y47" s="37"/>
      <c r="Z47" s="53">
        <v>0.25</v>
      </c>
      <c r="AA47" s="53">
        <v>0.11</v>
      </c>
      <c r="AB47" s="33"/>
      <c r="AC47" s="37"/>
      <c r="AD47" s="37"/>
      <c r="AE47" s="53">
        <v>0.45</v>
      </c>
      <c r="AF47" s="53">
        <v>0.15</v>
      </c>
      <c r="AG47" s="33"/>
      <c r="AH47" s="37"/>
      <c r="AI47" s="37"/>
      <c r="AJ47" s="53">
        <v>0.65</v>
      </c>
      <c r="AK47" s="53">
        <v>0.15</v>
      </c>
      <c r="AL47" s="33"/>
      <c r="AM47" s="37"/>
      <c r="AN47" s="37"/>
      <c r="AO47" s="53"/>
      <c r="AP47" s="53"/>
      <c r="AQ47" s="33"/>
      <c r="AR47" s="37"/>
      <c r="AS47" s="37"/>
      <c r="AT47" s="53"/>
      <c r="AU47" s="53"/>
      <c r="AV47" s="33"/>
      <c r="AW47" s="37"/>
      <c r="AX47" s="37"/>
      <c r="AY47" s="53"/>
      <c r="AZ47" s="53"/>
      <c r="BA47" s="33"/>
      <c r="BB47" s="37"/>
      <c r="BC47" s="37"/>
      <c r="BD47" s="53"/>
      <c r="BE47" s="53"/>
      <c r="BF47" s="33"/>
      <c r="BG47" s="37"/>
      <c r="BH47" s="37"/>
      <c r="BI47" s="53"/>
      <c r="BJ47" s="53"/>
      <c r="BK47" s="33"/>
      <c r="BL47" s="37"/>
      <c r="BM47" s="37"/>
      <c r="BN47" s="53"/>
      <c r="BO47" s="53"/>
      <c r="BP47" s="33"/>
      <c r="BQ47" s="37"/>
      <c r="BR47" s="37"/>
    </row>
    <row r="48" spans="1:70" s="8" customFormat="1" ht="28.5" customHeight="1">
      <c r="A48" s="20"/>
      <c r="B48" s="51" t="s">
        <v>117</v>
      </c>
      <c r="C48" s="31"/>
      <c r="D48" s="31"/>
      <c r="E48" s="32"/>
      <c r="F48" s="32"/>
      <c r="G48" s="33"/>
      <c r="H48" s="34"/>
      <c r="I48" s="34"/>
      <c r="J48" s="32">
        <v>1</v>
      </c>
      <c r="K48" s="32"/>
      <c r="L48" s="32">
        <v>1</v>
      </c>
      <c r="M48" s="33"/>
      <c r="N48" s="37"/>
      <c r="O48" s="37"/>
      <c r="P48" s="32">
        <v>2</v>
      </c>
      <c r="Q48" s="32">
        <v>2</v>
      </c>
      <c r="R48" s="33"/>
      <c r="S48" s="37"/>
      <c r="T48" s="37"/>
      <c r="U48" s="53">
        <v>3</v>
      </c>
      <c r="V48" s="53">
        <v>3</v>
      </c>
      <c r="W48" s="33"/>
      <c r="X48" s="37"/>
      <c r="Y48" s="37"/>
      <c r="Z48" s="53">
        <v>5</v>
      </c>
      <c r="AA48" s="53">
        <v>4</v>
      </c>
      <c r="AB48" s="33"/>
      <c r="AC48" s="37"/>
      <c r="AD48" s="37"/>
      <c r="AE48" s="53">
        <v>7</v>
      </c>
      <c r="AF48" s="53">
        <v>5</v>
      </c>
      <c r="AG48" s="33"/>
      <c r="AH48" s="37"/>
      <c r="AI48" s="37"/>
      <c r="AJ48" s="32">
        <v>9</v>
      </c>
      <c r="AK48" s="32">
        <v>6</v>
      </c>
      <c r="AL48" s="33"/>
      <c r="AM48" s="37"/>
      <c r="AN48" s="37"/>
      <c r="AO48" s="32"/>
      <c r="AP48" s="32"/>
      <c r="AQ48" s="33"/>
      <c r="AR48" s="37"/>
      <c r="AS48" s="37"/>
      <c r="AT48" s="53"/>
      <c r="AU48" s="53"/>
      <c r="AV48" s="33"/>
      <c r="AW48" s="37"/>
      <c r="AX48" s="37"/>
      <c r="AY48" s="53"/>
      <c r="AZ48" s="53"/>
      <c r="BA48" s="33"/>
      <c r="BB48" s="37"/>
      <c r="BC48" s="37"/>
      <c r="BD48" s="53"/>
      <c r="BE48" s="53"/>
      <c r="BF48" s="33"/>
      <c r="BG48" s="37"/>
      <c r="BH48" s="37"/>
      <c r="BI48" s="53"/>
      <c r="BJ48" s="53"/>
      <c r="BK48" s="33"/>
      <c r="BL48" s="37"/>
      <c r="BM48" s="37"/>
      <c r="BN48" s="53"/>
      <c r="BO48" s="53"/>
      <c r="BP48" s="33"/>
      <c r="BQ48" s="37"/>
      <c r="BR48" s="37"/>
    </row>
    <row r="49" spans="1:70" s="8" customFormat="1" ht="28.5" customHeight="1">
      <c r="A49" s="20"/>
      <c r="B49" s="51" t="s">
        <v>118</v>
      </c>
      <c r="C49" s="31"/>
      <c r="D49" s="31"/>
      <c r="E49" s="32"/>
      <c r="F49" s="32"/>
      <c r="G49" s="33"/>
      <c r="H49" s="34"/>
      <c r="I49" s="34"/>
      <c r="J49" s="35">
        <v>1861.2</v>
      </c>
      <c r="K49" s="35"/>
      <c r="L49" s="35">
        <v>2441.7</v>
      </c>
      <c r="M49" s="33"/>
      <c r="N49" s="37"/>
      <c r="O49" s="37"/>
      <c r="P49" s="35">
        <v>4711.1</v>
      </c>
      <c r="Q49" s="35">
        <v>6498.9</v>
      </c>
      <c r="R49" s="33"/>
      <c r="S49" s="37"/>
      <c r="T49" s="37"/>
      <c r="U49" s="52">
        <v>8137.7</v>
      </c>
      <c r="V49" s="52">
        <v>10359.9</v>
      </c>
      <c r="W49" s="33"/>
      <c r="X49" s="37"/>
      <c r="Y49" s="37"/>
      <c r="Z49" s="52">
        <v>14858.5</v>
      </c>
      <c r="AA49" s="52">
        <v>17774.26</v>
      </c>
      <c r="AB49" s="33"/>
      <c r="AC49" s="37"/>
      <c r="AD49" s="37"/>
      <c r="AE49" s="52">
        <v>13319.8</v>
      </c>
      <c r="AF49" s="52">
        <v>17811.3</v>
      </c>
      <c r="AG49" s="33"/>
      <c r="AH49" s="37"/>
      <c r="AI49" s="37"/>
      <c r="AJ49" s="35">
        <v>15603.5</v>
      </c>
      <c r="AK49" s="35">
        <v>19449</v>
      </c>
      <c r="AL49" s="33"/>
      <c r="AM49" s="37"/>
      <c r="AN49" s="37"/>
      <c r="AO49" s="35"/>
      <c r="AP49" s="35"/>
      <c r="AQ49" s="33"/>
      <c r="AR49" s="37"/>
      <c r="AS49" s="37"/>
      <c r="AT49" s="52"/>
      <c r="AU49" s="52"/>
      <c r="AV49" s="33"/>
      <c r="AW49" s="37"/>
      <c r="AX49" s="37"/>
      <c r="AY49" s="52"/>
      <c r="AZ49" s="52"/>
      <c r="BA49" s="33"/>
      <c r="BB49" s="37"/>
      <c r="BC49" s="37"/>
      <c r="BD49" s="52"/>
      <c r="BE49" s="52"/>
      <c r="BF49" s="33"/>
      <c r="BG49" s="37"/>
      <c r="BH49" s="37"/>
      <c r="BI49" s="52"/>
      <c r="BJ49" s="52"/>
      <c r="BK49" s="33"/>
      <c r="BL49" s="37"/>
      <c r="BM49" s="37"/>
      <c r="BN49" s="52"/>
      <c r="BO49" s="52"/>
      <c r="BP49" s="33"/>
      <c r="BQ49" s="37"/>
      <c r="BR49" s="37"/>
    </row>
    <row r="50" spans="1:70" s="8" customFormat="1" ht="28.5" customHeight="1">
      <c r="A50" s="20"/>
      <c r="B50" s="54" t="s">
        <v>119</v>
      </c>
      <c r="C50" s="31"/>
      <c r="D50" s="31"/>
      <c r="E50" s="32"/>
      <c r="F50" s="32"/>
      <c r="G50" s="33"/>
      <c r="H50" s="34"/>
      <c r="I50" s="34"/>
      <c r="J50" s="35"/>
      <c r="K50" s="35"/>
      <c r="L50" s="35"/>
      <c r="M50" s="33"/>
      <c r="N50" s="37"/>
      <c r="O50" s="37"/>
      <c r="P50" s="35">
        <v>221</v>
      </c>
      <c r="Q50" s="35"/>
      <c r="R50" s="33"/>
      <c r="S50" s="37"/>
      <c r="T50" s="37"/>
      <c r="U50" s="52">
        <v>343</v>
      </c>
      <c r="V50" s="52"/>
      <c r="W50" s="33"/>
      <c r="X50" s="37"/>
      <c r="Y50" s="37"/>
      <c r="Z50" s="52">
        <v>409</v>
      </c>
      <c r="AA50" s="52"/>
      <c r="AB50" s="33"/>
      <c r="AC50" s="37"/>
      <c r="AD50" s="37"/>
      <c r="AE50" s="52">
        <v>543</v>
      </c>
      <c r="AF50" s="52"/>
      <c r="AG50" s="33"/>
      <c r="AH50" s="37"/>
      <c r="AI50" s="37"/>
      <c r="AJ50" s="35">
        <v>803</v>
      </c>
      <c r="AK50" s="35"/>
      <c r="AL50" s="33"/>
      <c r="AM50" s="37"/>
      <c r="AN50" s="37"/>
      <c r="AO50" s="35"/>
      <c r="AP50" s="35"/>
      <c r="AQ50" s="33"/>
      <c r="AR50" s="37"/>
      <c r="AS50" s="37"/>
      <c r="AT50" s="52"/>
      <c r="AU50" s="52"/>
      <c r="AV50" s="33"/>
      <c r="AW50" s="37"/>
      <c r="AX50" s="37"/>
      <c r="AY50" s="52"/>
      <c r="AZ50" s="52"/>
      <c r="BA50" s="33"/>
      <c r="BB50" s="37"/>
      <c r="BC50" s="37"/>
      <c r="BD50" s="52"/>
      <c r="BE50" s="52"/>
      <c r="BF50" s="33"/>
      <c r="BG50" s="37"/>
      <c r="BH50" s="37"/>
      <c r="BI50" s="52"/>
      <c r="BJ50" s="52"/>
      <c r="BK50" s="33"/>
      <c r="BL50" s="37"/>
      <c r="BM50" s="37"/>
      <c r="BN50" s="52"/>
      <c r="BO50" s="52"/>
      <c r="BP50" s="33"/>
      <c r="BQ50" s="37"/>
      <c r="BR50" s="37"/>
    </row>
    <row r="51" spans="1:70" s="8" customFormat="1" ht="30.75" customHeight="1">
      <c r="A51" s="20"/>
      <c r="B51" s="51" t="s">
        <v>120</v>
      </c>
      <c r="C51" s="31"/>
      <c r="D51" s="31"/>
      <c r="E51" s="32"/>
      <c r="F51" s="32"/>
      <c r="G51" s="33"/>
      <c r="H51" s="34"/>
      <c r="I51" s="34"/>
      <c r="J51" s="32">
        <v>51.5</v>
      </c>
      <c r="K51" s="32"/>
      <c r="L51" s="32">
        <v>59.7</v>
      </c>
      <c r="M51" s="33"/>
      <c r="N51" s="37"/>
      <c r="O51" s="37"/>
      <c r="P51" s="35">
        <v>43057</v>
      </c>
      <c r="Q51" s="35">
        <v>27900</v>
      </c>
      <c r="R51" s="33"/>
      <c r="S51" s="37"/>
      <c r="T51" s="37"/>
      <c r="U51" s="35">
        <v>216.7</v>
      </c>
      <c r="V51" s="35">
        <v>656.7</v>
      </c>
      <c r="W51" s="33"/>
      <c r="X51" s="37"/>
      <c r="Y51" s="37"/>
      <c r="Z51" s="35">
        <v>656.7</v>
      </c>
      <c r="AA51" s="35">
        <v>656.7</v>
      </c>
      <c r="AB51" s="33"/>
      <c r="AC51" s="37"/>
      <c r="AD51" s="37"/>
      <c r="AE51" s="52">
        <v>361.48</v>
      </c>
      <c r="AF51" s="52">
        <v>656.7</v>
      </c>
      <c r="AG51" s="33"/>
      <c r="AH51" s="37"/>
      <c r="AI51" s="37"/>
      <c r="AJ51" s="32">
        <v>424.48</v>
      </c>
      <c r="AK51" s="32">
        <v>955.2</v>
      </c>
      <c r="AL51" s="33"/>
      <c r="AM51" s="37"/>
      <c r="AN51" s="37"/>
      <c r="AO51" s="35"/>
      <c r="AP51" s="35"/>
      <c r="AQ51" s="33"/>
      <c r="AR51" s="37"/>
      <c r="AS51" s="37"/>
      <c r="AT51" s="35"/>
      <c r="AU51" s="35"/>
      <c r="AV51" s="33"/>
      <c r="AW51" s="37"/>
      <c r="AX51" s="37"/>
      <c r="AY51" s="35"/>
      <c r="AZ51" s="35"/>
      <c r="BA51" s="33"/>
      <c r="BB51" s="37"/>
      <c r="BC51" s="37"/>
      <c r="BD51" s="35"/>
      <c r="BE51" s="35"/>
      <c r="BF51" s="33"/>
      <c r="BG51" s="37"/>
      <c r="BH51" s="37"/>
      <c r="BI51" s="35"/>
      <c r="BJ51" s="35"/>
      <c r="BK51" s="33"/>
      <c r="BL51" s="37"/>
      <c r="BM51" s="37"/>
      <c r="BN51" s="35"/>
      <c r="BO51" s="35"/>
      <c r="BP51" s="33"/>
      <c r="BQ51" s="37"/>
      <c r="BR51" s="37"/>
    </row>
    <row r="52" spans="1:70" s="8" customFormat="1" ht="28.5" customHeight="1">
      <c r="A52" s="20"/>
      <c r="B52" s="51" t="s">
        <v>68</v>
      </c>
      <c r="C52" s="31"/>
      <c r="D52" s="31"/>
      <c r="E52" s="32"/>
      <c r="F52" s="32"/>
      <c r="G52" s="33"/>
      <c r="H52" s="34"/>
      <c r="I52" s="34"/>
      <c r="J52" s="32">
        <v>20913</v>
      </c>
      <c r="K52" s="32"/>
      <c r="L52" s="32">
        <v>14340</v>
      </c>
      <c r="M52" s="33"/>
      <c r="N52" s="37"/>
      <c r="O52" s="37"/>
      <c r="P52" s="35">
        <v>43057</v>
      </c>
      <c r="Q52" s="35">
        <v>27900</v>
      </c>
      <c r="R52" s="33"/>
      <c r="S52" s="37"/>
      <c r="T52" s="37"/>
      <c r="U52" s="35">
        <v>68112</v>
      </c>
      <c r="V52" s="35">
        <v>46776</v>
      </c>
      <c r="W52" s="33"/>
      <c r="X52" s="37"/>
      <c r="Y52" s="37"/>
      <c r="Z52" s="35">
        <v>92240</v>
      </c>
      <c r="AA52" s="35">
        <v>65500</v>
      </c>
      <c r="AB52" s="33"/>
      <c r="AC52" s="37"/>
      <c r="AD52" s="37"/>
      <c r="AE52" s="35">
        <v>116263</v>
      </c>
      <c r="AF52" s="35">
        <v>84259</v>
      </c>
      <c r="AG52" s="33"/>
      <c r="AH52" s="37"/>
      <c r="AI52" s="37"/>
      <c r="AJ52" s="35">
        <v>140458</v>
      </c>
      <c r="AK52" s="35">
        <v>106888</v>
      </c>
      <c r="AL52" s="33"/>
      <c r="AM52" s="37"/>
      <c r="AN52" s="37"/>
      <c r="AO52" s="35"/>
      <c r="AP52" s="35"/>
      <c r="AQ52" s="33"/>
      <c r="AR52" s="37"/>
      <c r="AS52" s="37"/>
      <c r="AT52" s="35"/>
      <c r="AU52" s="35"/>
      <c r="AV52" s="33"/>
      <c r="AW52" s="37"/>
      <c r="AX52" s="37"/>
      <c r="AY52" s="35"/>
      <c r="AZ52" s="35"/>
      <c r="BA52" s="33"/>
      <c r="BB52" s="37"/>
      <c r="BC52" s="37"/>
      <c r="BD52" s="35"/>
      <c r="BE52" s="35"/>
      <c r="BF52" s="33"/>
      <c r="BG52" s="37"/>
      <c r="BH52" s="37"/>
      <c r="BI52" s="35"/>
      <c r="BJ52" s="35"/>
      <c r="BK52" s="33"/>
      <c r="BL52" s="37"/>
      <c r="BM52" s="37"/>
      <c r="BN52" s="35"/>
      <c r="BO52" s="35"/>
      <c r="BP52" s="33"/>
      <c r="BQ52" s="37"/>
      <c r="BR52" s="37"/>
    </row>
    <row r="53" spans="1:70" s="8" customFormat="1" ht="15">
      <c r="A53" s="20"/>
      <c r="B53" s="55" t="s">
        <v>123</v>
      </c>
      <c r="C53" s="31"/>
      <c r="D53" s="31"/>
      <c r="E53" s="32"/>
      <c r="F53" s="32"/>
      <c r="G53" s="33"/>
      <c r="H53" s="34"/>
      <c r="I53" s="34"/>
      <c r="J53" s="35">
        <v>5362</v>
      </c>
      <c r="K53" s="35"/>
      <c r="L53" s="35">
        <v>5832</v>
      </c>
      <c r="M53" s="33"/>
      <c r="N53" s="37"/>
      <c r="O53" s="37"/>
      <c r="P53" s="35">
        <v>9407</v>
      </c>
      <c r="Q53" s="35">
        <v>8586</v>
      </c>
      <c r="R53" s="33"/>
      <c r="S53" s="37"/>
      <c r="T53" s="37"/>
      <c r="U53" s="35">
        <v>13731</v>
      </c>
      <c r="V53" s="35">
        <v>10771</v>
      </c>
      <c r="W53" s="33"/>
      <c r="X53" s="37"/>
      <c r="Y53" s="37"/>
      <c r="Z53" s="35">
        <v>18718</v>
      </c>
      <c r="AA53" s="35">
        <v>14919</v>
      </c>
      <c r="AB53" s="33"/>
      <c r="AC53" s="37"/>
      <c r="AD53" s="37"/>
      <c r="AE53" s="35">
        <v>22419</v>
      </c>
      <c r="AF53" s="35">
        <v>18833</v>
      </c>
      <c r="AG53" s="33"/>
      <c r="AH53" s="37"/>
      <c r="AI53" s="37"/>
      <c r="AJ53" s="35">
        <v>26238</v>
      </c>
      <c r="AK53" s="35">
        <v>21953</v>
      </c>
      <c r="AL53" s="33"/>
      <c r="AM53" s="37"/>
      <c r="AN53" s="37"/>
      <c r="AO53" s="35"/>
      <c r="AP53" s="35"/>
      <c r="AQ53" s="33"/>
      <c r="AR53" s="37"/>
      <c r="AS53" s="37"/>
      <c r="AT53" s="35"/>
      <c r="AU53" s="35"/>
      <c r="AV53" s="33"/>
      <c r="AW53" s="37"/>
      <c r="AX53" s="37"/>
      <c r="AY53" s="35"/>
      <c r="AZ53" s="35"/>
      <c r="BA53" s="33"/>
      <c r="BB53" s="37"/>
      <c r="BC53" s="37"/>
      <c r="BD53" s="35"/>
      <c r="BE53" s="35"/>
      <c r="BF53" s="33"/>
      <c r="BG53" s="37"/>
      <c r="BH53" s="37"/>
      <c r="BI53" s="35"/>
      <c r="BJ53" s="35"/>
      <c r="BK53" s="33"/>
      <c r="BL53" s="37"/>
      <c r="BM53" s="37"/>
      <c r="BN53" s="35"/>
      <c r="BO53" s="35"/>
      <c r="BP53" s="33"/>
      <c r="BQ53" s="37"/>
      <c r="BR53" s="37"/>
    </row>
    <row r="54" spans="1:70" s="8" customFormat="1" ht="15">
      <c r="A54" s="20"/>
      <c r="B54" s="51" t="s">
        <v>121</v>
      </c>
      <c r="C54" s="31"/>
      <c r="D54" s="31"/>
      <c r="E54" s="32"/>
      <c r="F54" s="32"/>
      <c r="G54" s="33"/>
      <c r="H54" s="34"/>
      <c r="I54" s="34"/>
      <c r="J54" s="35">
        <v>5362</v>
      </c>
      <c r="K54" s="35"/>
      <c r="L54" s="35">
        <v>5832</v>
      </c>
      <c r="M54" s="33"/>
      <c r="N54" s="37"/>
      <c r="O54" s="37"/>
      <c r="P54" s="35">
        <v>9407</v>
      </c>
      <c r="Q54" s="35">
        <v>8586</v>
      </c>
      <c r="R54" s="33"/>
      <c r="S54" s="37"/>
      <c r="T54" s="37"/>
      <c r="U54" s="35">
        <v>13731</v>
      </c>
      <c r="V54" s="35">
        <v>10771</v>
      </c>
      <c r="W54" s="33"/>
      <c r="X54" s="37"/>
      <c r="Y54" s="37"/>
      <c r="Z54" s="35">
        <v>18718</v>
      </c>
      <c r="AA54" s="35">
        <v>14919</v>
      </c>
      <c r="AB54" s="33"/>
      <c r="AC54" s="37"/>
      <c r="AD54" s="37"/>
      <c r="AE54" s="35">
        <v>22419</v>
      </c>
      <c r="AF54" s="35">
        <v>18833</v>
      </c>
      <c r="AG54" s="33"/>
      <c r="AH54" s="37"/>
      <c r="AI54" s="37"/>
      <c r="AJ54" s="35">
        <v>26238</v>
      </c>
      <c r="AK54" s="35">
        <v>21953</v>
      </c>
      <c r="AL54" s="33"/>
      <c r="AM54" s="37"/>
      <c r="AN54" s="37"/>
      <c r="AO54" s="35"/>
      <c r="AP54" s="35"/>
      <c r="AQ54" s="33"/>
      <c r="AR54" s="37"/>
      <c r="AS54" s="37"/>
      <c r="AT54" s="35"/>
      <c r="AU54" s="35"/>
      <c r="AV54" s="33"/>
      <c r="AW54" s="37"/>
      <c r="AX54" s="37"/>
      <c r="AY54" s="35"/>
      <c r="AZ54" s="35"/>
      <c r="BA54" s="33"/>
      <c r="BB54" s="37"/>
      <c r="BC54" s="37"/>
      <c r="BD54" s="35"/>
      <c r="BE54" s="35"/>
      <c r="BF54" s="33"/>
      <c r="BG54" s="37"/>
      <c r="BH54" s="37"/>
      <c r="BI54" s="35"/>
      <c r="BJ54" s="35"/>
      <c r="BK54" s="33"/>
      <c r="BL54" s="37"/>
      <c r="BM54" s="37"/>
      <c r="BN54" s="35"/>
      <c r="BO54" s="35"/>
      <c r="BP54" s="33"/>
      <c r="BQ54" s="37"/>
      <c r="BR54" s="37"/>
    </row>
    <row r="55" spans="1:70" s="8" customFormat="1" ht="15">
      <c r="A55" s="20"/>
      <c r="B55" s="55" t="s">
        <v>69</v>
      </c>
      <c r="C55" s="31"/>
      <c r="D55" s="31"/>
      <c r="E55" s="32"/>
      <c r="F55" s="32"/>
      <c r="G55" s="33"/>
      <c r="H55" s="34"/>
      <c r="I55" s="34"/>
      <c r="J55" s="53">
        <v>21.89</v>
      </c>
      <c r="K55" s="32"/>
      <c r="L55" s="53">
        <v>25.87</v>
      </c>
      <c r="M55" s="33"/>
      <c r="N55" s="37"/>
      <c r="O55" s="37"/>
      <c r="P55" s="53">
        <v>41.19</v>
      </c>
      <c r="Q55" s="53">
        <v>55.21</v>
      </c>
      <c r="R55" s="33"/>
      <c r="S55" s="37"/>
      <c r="T55" s="37"/>
      <c r="U55" s="53">
        <v>59.58</v>
      </c>
      <c r="V55" s="53">
        <v>79.87</v>
      </c>
      <c r="W55" s="33"/>
      <c r="X55" s="37"/>
      <c r="Y55" s="37"/>
      <c r="Z55" s="53">
        <v>93.67</v>
      </c>
      <c r="AA55" s="53">
        <v>82.03</v>
      </c>
      <c r="AB55" s="33"/>
      <c r="AC55" s="37"/>
      <c r="AD55" s="37"/>
      <c r="AE55" s="53">
        <v>93.7</v>
      </c>
      <c r="AF55" s="53">
        <v>82.14</v>
      </c>
      <c r="AG55" s="33"/>
      <c r="AH55" s="37"/>
      <c r="AI55" s="37"/>
      <c r="AJ55" s="53">
        <v>93.73</v>
      </c>
      <c r="AK55" s="53">
        <v>82.16</v>
      </c>
      <c r="AL55" s="33"/>
      <c r="AM55" s="37"/>
      <c r="AN55" s="37"/>
      <c r="AO55" s="53"/>
      <c r="AP55" s="53"/>
      <c r="AQ55" s="33"/>
      <c r="AR55" s="37"/>
      <c r="AS55" s="37"/>
      <c r="AT55" s="53"/>
      <c r="AU55" s="53"/>
      <c r="AV55" s="33"/>
      <c r="AW55" s="37"/>
      <c r="AX55" s="37"/>
      <c r="AY55" s="53"/>
      <c r="AZ55" s="53"/>
      <c r="BA55" s="33"/>
      <c r="BB55" s="37"/>
      <c r="BC55" s="37"/>
      <c r="BD55" s="53"/>
      <c r="BE55" s="53"/>
      <c r="BF55" s="33"/>
      <c r="BG55" s="37"/>
      <c r="BH55" s="37"/>
      <c r="BI55" s="53"/>
      <c r="BJ55" s="53"/>
      <c r="BK55" s="33"/>
      <c r="BL55" s="37"/>
      <c r="BM55" s="37"/>
      <c r="BN55" s="53"/>
      <c r="BO55" s="53"/>
      <c r="BP55" s="33"/>
      <c r="BQ55" s="37"/>
      <c r="BR55" s="37"/>
    </row>
    <row r="56" spans="1:70" s="8" customFormat="1" ht="15.75" customHeight="1">
      <c r="A56" s="20"/>
      <c r="B56" s="51" t="s">
        <v>122</v>
      </c>
      <c r="C56" s="31"/>
      <c r="D56" s="31"/>
      <c r="E56" s="32"/>
      <c r="F56" s="32"/>
      <c r="G56" s="33"/>
      <c r="H56" s="34"/>
      <c r="I56" s="34"/>
      <c r="J56" s="53">
        <v>21.89</v>
      </c>
      <c r="K56" s="32"/>
      <c r="L56" s="53">
        <v>25.87</v>
      </c>
      <c r="M56" s="33"/>
      <c r="N56" s="37"/>
      <c r="O56" s="37"/>
      <c r="P56" s="53">
        <v>41.19</v>
      </c>
      <c r="Q56" s="53">
        <v>55.21</v>
      </c>
      <c r="R56" s="33"/>
      <c r="S56" s="37"/>
      <c r="T56" s="37"/>
      <c r="U56" s="53">
        <v>59.58</v>
      </c>
      <c r="V56" s="53">
        <v>76.87</v>
      </c>
      <c r="W56" s="33"/>
      <c r="X56" s="37"/>
      <c r="Y56" s="37"/>
      <c r="Z56" s="53">
        <v>93.67</v>
      </c>
      <c r="AA56" s="53">
        <v>82.03</v>
      </c>
      <c r="AB56" s="33"/>
      <c r="AC56" s="37"/>
      <c r="AD56" s="37"/>
      <c r="AE56" s="53">
        <v>93.7</v>
      </c>
      <c r="AF56" s="53">
        <v>82.14</v>
      </c>
      <c r="AG56" s="33"/>
      <c r="AH56" s="37"/>
      <c r="AI56" s="37"/>
      <c r="AJ56" s="53">
        <v>93.73</v>
      </c>
      <c r="AK56" s="53">
        <v>82.16</v>
      </c>
      <c r="AL56" s="33"/>
      <c r="AM56" s="37"/>
      <c r="AN56" s="37"/>
      <c r="AO56" s="53"/>
      <c r="AP56" s="53"/>
      <c r="AQ56" s="33"/>
      <c r="AR56" s="37"/>
      <c r="AS56" s="37"/>
      <c r="AT56" s="53"/>
      <c r="AU56" s="53"/>
      <c r="AV56" s="33"/>
      <c r="AW56" s="37"/>
      <c r="AX56" s="37"/>
      <c r="AY56" s="53"/>
      <c r="AZ56" s="53"/>
      <c r="BA56" s="33"/>
      <c r="BB56" s="37"/>
      <c r="BC56" s="37"/>
      <c r="BD56" s="53"/>
      <c r="BE56" s="53"/>
      <c r="BF56" s="33"/>
      <c r="BG56" s="37"/>
      <c r="BH56" s="37"/>
      <c r="BI56" s="53"/>
      <c r="BJ56" s="53"/>
      <c r="BK56" s="33"/>
      <c r="BL56" s="37"/>
      <c r="BM56" s="37"/>
      <c r="BN56" s="53"/>
      <c r="BO56" s="53"/>
      <c r="BP56" s="33"/>
      <c r="BQ56" s="37"/>
      <c r="BR56" s="37"/>
    </row>
    <row r="57" spans="1:70" s="8" customFormat="1" ht="30" customHeight="1">
      <c r="A57" s="10">
        <v>3</v>
      </c>
      <c r="B57" s="50" t="s">
        <v>70</v>
      </c>
      <c r="C57" s="11"/>
      <c r="D57" s="11"/>
      <c r="E57" s="12" t="e">
        <f>E58+"#ССЫЛ!#ССЫЛ!+E14+E15+E16+E17+E18+E19+E23+E24"</f>
        <v>#VALUE!</v>
      </c>
      <c r="F57" s="12" t="e">
        <f>F58+"#ССЫЛ!#ССЫЛ!+F14+F15+F16+F17+F18+F19+F23+F24"</f>
        <v>#VALUE!</v>
      </c>
      <c r="G57" s="13" t="e">
        <f>E57/F57</f>
        <v>#VALUE!</v>
      </c>
      <c r="H57" s="13"/>
      <c r="I57" s="13"/>
      <c r="J57" s="15">
        <f>J58+J59+J67+J68+J69+J70+J71+J72+J73+J74+J75+J76+J77+J78+J79+J80+J81+J82</f>
        <v>324998</v>
      </c>
      <c r="K57" s="15"/>
      <c r="L57" s="15">
        <f>L58+L59+L67+L68+L69+L70+L71+L72+L73+L74+L75+L76+L77+L78+L79+L80+L81+L82</f>
        <v>274556</v>
      </c>
      <c r="M57" s="13">
        <f>J57/L57</f>
        <v>1.1837220821981673</v>
      </c>
      <c r="N57" s="16">
        <f>N58+N59+N67+N68+N69+N70+N71+N72+N73+N74+N75+N76+N77+N78+N79+N80+N81+N82</f>
        <v>100.00000000000001</v>
      </c>
      <c r="O57" s="16">
        <f>O58+O59+O67+O68+O69+O70+O71+O72+O73+O74+O75+O76+O77+O78+O79+O80+O81+O82</f>
        <v>100.00000000000003</v>
      </c>
      <c r="P57" s="15">
        <f>P58+P59+P67+P68+P69+P70+P71+P72+P73+P74+P75+P76+P77+P78+P79+P80+P81+P82</f>
        <v>734337</v>
      </c>
      <c r="Q57" s="15">
        <f>Q58+Q59+Q67+Q68+Q69+Q70+Q71+Q72+Q73+Q74+Q75+Q76+Q77+Q78+Q79+Q80+Q81+Q82</f>
        <v>581289</v>
      </c>
      <c r="R57" s="13">
        <f>P57/Q57</f>
        <v>1.2632907211387108</v>
      </c>
      <c r="S57" s="16">
        <f>S58+S59+S67+S68+S69+S70+S71+S72+S73+S74+S75+S76+S77+S78+S79+S80+S81+S82</f>
        <v>100</v>
      </c>
      <c r="T57" s="16">
        <f>T58+T59+T67+T68+T69+T70+T71+T72+T73+T74+T75+T76+T77+T78+T79+T80+T81+T82</f>
        <v>99.99999999999999</v>
      </c>
      <c r="U57" s="15">
        <f>U58+U59+U67+U68+U69+U70+U71+U72+U73+U74+U75+U76+U77+U78+U79+U80+U81+U82</f>
        <v>1139611</v>
      </c>
      <c r="V57" s="15">
        <f>V58+V59+V67+V68+V69+V70+V71+V72+V73+V74+V75+V76+V77+V78+V79+V80+V81+V82</f>
        <v>924332</v>
      </c>
      <c r="W57" s="13">
        <f>U57/V57</f>
        <v>1.2329022472444966</v>
      </c>
      <c r="X57" s="16">
        <f>X58+X59+X67+X68+X69+X70+X71+X72+X73+X74+X75+X76+X77+X78+X79+X80+X81+X82</f>
        <v>100</v>
      </c>
      <c r="Y57" s="16">
        <f>Y58+Y59+Y67+Y68+Y69+Y70+Y71+Y72+Y73+Y74+Y75+Y76+Y77+Y78+Y79+Y80+Y81+Y82</f>
        <v>100</v>
      </c>
      <c r="Z57" s="15">
        <f>Z58+Z59+Z67+Z68+Z69+Z70+Z71+Z72+Z73+Z74+Z75+Z76+Z77+Z78+Z79+Z80+Z81+Z82</f>
        <v>1542695</v>
      </c>
      <c r="AA57" s="15">
        <f>AA58+AA59+AA67+AA68+AA69+AA70+AA71+AA72+AA73+AA74+AA75+AA76+AA77+AA78+AA79+AA80+AA81+AA82</f>
        <v>1248051</v>
      </c>
      <c r="AB57" s="13">
        <f>Z57/AA57</f>
        <v>1.2360833010830488</v>
      </c>
      <c r="AC57" s="16">
        <f>AC58+AC59+AC67+AC68+AC69+AC70+AC71+AC72+AC73+AC74+AC75+AC76+AC77+AC78+AC79+AC80+AC81+AC82</f>
        <v>100.00000000000003</v>
      </c>
      <c r="AD57" s="16">
        <f>AD58+AD59+AD67+AD68+AD69+AD70+AD71+AD72+AD73+AD74+AD75+AD76+AD77+AD78+AD79+AD80+AD81+AD82</f>
        <v>99.99999999999999</v>
      </c>
      <c r="AE57" s="15">
        <f>AE58+AE59+AE67+AE68+AE69+AE70+AE71+AE72+AE73+AE74+AE75+AE76+AE77+AE78+AE79+AE80+AE81+AE82</f>
        <v>1923331</v>
      </c>
      <c r="AF57" s="15">
        <f>AF58+AF59+AF67+AF68+AF69+AF70+AF71+AF72+AF73+AF74+AF75+AF76+AF77+AF78+AF79+AF80+AF81+AF82</f>
        <v>1603693</v>
      </c>
      <c r="AG57" s="13">
        <f>AE57/AF57</f>
        <v>1.1993137090453099</v>
      </c>
      <c r="AH57" s="16">
        <f>AH58+AH59+AH67+AH68+AH69+AH70+AH71+AH72+AH73+AH74+AH75+AH76+AH77+AH78+AH79+AH80+AH81+AH82</f>
        <v>99.99999999999999</v>
      </c>
      <c r="AI57" s="16">
        <f>AI58+AI59+AI67+AI68+AI69+AI70+AI71+AI72+AI73+AI74+AI75+AI76+AI77+AI78+AI79+AI80+AI81+AI82</f>
        <v>99.99999999999999</v>
      </c>
      <c r="AJ57" s="15">
        <f>AJ58+AJ59+AJ67+AJ68+AJ69+AJ70+AJ71+AJ72+AJ73+AJ74+AJ75+AJ76+AJ77+AJ78+AJ79+AJ80+AJ81+AJ82</f>
        <v>2301319</v>
      </c>
      <c r="AK57" s="15">
        <f>AK58+AK59+AK67+AK68+AK69+AK70+AK71+AK72+AK73+AK74+AK75+AK76+AK77+AK78+AK79+AK80+AK81+AK82</f>
        <v>2006250</v>
      </c>
      <c r="AL57" s="13">
        <f>AJ57/AK57</f>
        <v>1.147074890965732</v>
      </c>
      <c r="AM57" s="16">
        <f>AM58+AM59+AM67+AM68+AM69+AM70+AM71+AM72+AM73+AM74+AM75+AM76+AM77+AM78+AM79+AM80+AM81+AM82</f>
        <v>100.00000000000001</v>
      </c>
      <c r="AN57" s="16">
        <f>AN58+AN59+AN67+AN68+AN69+AN70+AN71+AN72+AN73+AN74+AN75+AN76+AN77+AN78+AN79+AN80+AN81+AN82</f>
        <v>99.99999999999999</v>
      </c>
      <c r="AO57" s="15">
        <f>AO58+AO59+AO67+AO68+AO69+AO70+AO71+AO72+AO73+AO74+AO75+AO76+AO77+AO78+AO79+AO80+AO81+AO82</f>
        <v>0</v>
      </c>
      <c r="AP57" s="15">
        <f>AP58+AP59+AP67+AP68+AP69+AP70+AP71+AP72+AP73+AP74+AP75+AP76+AP77+AP78+AP79+AP80+AP81+AP82</f>
        <v>0</v>
      </c>
      <c r="AQ57" s="13" t="e">
        <f>AO57/AP57</f>
        <v>#DIV/0!</v>
      </c>
      <c r="AR57" s="16" t="e">
        <f>AR58+AR59+AR67+AR68+AR69+AR70+AR71+AR72+AR73+AR74+AR75+AR76+AR77+AR78+AR79+AR80+AR81+AR82</f>
        <v>#DIV/0!</v>
      </c>
      <c r="AS57" s="16" t="e">
        <f>AS58+AS59+AS67+AS68+AS69+AS70+AS71+AS72+AS73+AS74+AS75+AS76+AS77+AS78+AS79+AS80+AS81+AS82</f>
        <v>#DIV/0!</v>
      </c>
      <c r="AT57" s="15">
        <f>AT58+AT59+AT67+AT68+AT69+AT70+AT71+AT72+AT73+AT74+AT75+AT76+AT77+AT78+AT79+AT80+AT81+AT82</f>
        <v>0</v>
      </c>
      <c r="AU57" s="15">
        <f>AU58+AU59+AU67+AU68+AU69+AU70+AU71+AU72+AU73+AU74+AU75+AU76+AU77+AU78+AU79+AU80+AU81+AU82</f>
        <v>0</v>
      </c>
      <c r="AV57" s="13" t="e">
        <f>AT57/AU57</f>
        <v>#DIV/0!</v>
      </c>
      <c r="AW57" s="16" t="e">
        <f>AW58+AW59+AW67+AW68+AW69+AW70+AW71+AW72+AW73+AW74+AW75+AW76+AW77+AW78+AW79+AW80+AW81+AW82</f>
        <v>#DIV/0!</v>
      </c>
      <c r="AX57" s="16" t="e">
        <f>AX58+AX59+AX67+AX68+AX69+AX70+AX71+AX72+AX73+AX74+AX75+AX76+AX77+AX78+AX79+AX80+AX81+AX82</f>
        <v>#DIV/0!</v>
      </c>
      <c r="AY57" s="15">
        <f>AY58+AY59+AY67+AY68+AY69+AY70+AY71+AY72+AY73+AY74+AY75+AY76+AY77+AY78+AY79+AY80+AY81+AY82</f>
        <v>0</v>
      </c>
      <c r="AZ57" s="15">
        <f>AZ58+AZ59+AZ67+AZ68+AZ69+AZ70+AZ71+AZ72+AZ73+AZ74+AZ75+AZ76+AZ77+AZ78+AZ79+AZ80+AZ81+AZ82</f>
        <v>0</v>
      </c>
      <c r="BA57" s="13" t="e">
        <f>AY57/AZ57</f>
        <v>#DIV/0!</v>
      </c>
      <c r="BB57" s="16" t="e">
        <f>BB58+BB59+BB67+BB68+BB69+BB70+BB71+BB72+BB73+BB74+BB75+BB76+BB77+BB78+BB79+BB80+BB81+BB82</f>
        <v>#DIV/0!</v>
      </c>
      <c r="BC57" s="16" t="e">
        <f>BC58+BC59+BC67+BC68+BC69+BC70+BC71+BC72+BC73+BC74+BC75+BC76+BC77+BC78+BC79+BC80+BC81+BC82</f>
        <v>#DIV/0!</v>
      </c>
      <c r="BD57" s="15">
        <f>BD58+BD59+BD67+BD68+BD69+BD70+BD71+BD72+BD73+BD74+BD75+BD76+BD77+BD78+BD79+BD80+BD81+BD82</f>
        <v>0</v>
      </c>
      <c r="BE57" s="15">
        <f>BE58+BE59+BE67+BE68+BE69+BE70+BE71+BE72+BE73+BE74+BE75+BE76+BE77+BE78+BE79+BE80+BE81+BE82</f>
        <v>0</v>
      </c>
      <c r="BF57" s="13" t="e">
        <f>BD57/BE57</f>
        <v>#DIV/0!</v>
      </c>
      <c r="BG57" s="16" t="e">
        <f>BG58+BG59+BG67+BG68+BG69+BG70+BG71+BG72+BG73+BG74+BG75+BG76+BG77+BG78+BG79+BG80+BG81+BG82</f>
        <v>#DIV/0!</v>
      </c>
      <c r="BH57" s="16" t="e">
        <f>BH58+BH59+BH67+BH68+BH69+BH70+BH71+BH72+BH73+BH74+BH75+BH76+BH77+BH78+BH79+BH80+BH81+BH82</f>
        <v>#DIV/0!</v>
      </c>
      <c r="BI57" s="15">
        <f>BI58+BI59+BI67+BI68+BI69+BI70+BI71+BI72+BI73+BI74+BI75+BI76+BI77+BI78+BI79+BI80+BI81+BI82</f>
        <v>0</v>
      </c>
      <c r="BJ57" s="15">
        <f>BJ58+BJ59+BJ67+BJ68+BJ69+BJ70+BJ71+BJ72+BJ73+BJ74+BJ75+BJ76+BJ77+BJ78+BJ79+BJ80+BJ81+BJ82</f>
        <v>0</v>
      </c>
      <c r="BK57" s="13" t="e">
        <f>BI57/BJ57</f>
        <v>#DIV/0!</v>
      </c>
      <c r="BL57" s="16" t="e">
        <f>BL58+BL59+BL67+BL68+BL69+BL70+BL71+BL72+BL73+BL74+BL75+BL76+BL77+BL78+BL79+BL80+BL81+BL82</f>
        <v>#DIV/0!</v>
      </c>
      <c r="BM57" s="16" t="e">
        <f>BM58+BM59+BM67+BM68+BM69+BM70+BM71+BM72+BM73+BM74+BM75+BM76+BM77+BM78+BM79+BM80+BM81+BM82</f>
        <v>#DIV/0!</v>
      </c>
      <c r="BN57" s="15">
        <f>BN58+BN59+BN67+BN68+BN69+BN70+BN71+BN72+BN73+BN74+BN75+BN76+BN77+BN78+BN79+BN80+BN81+BN82</f>
        <v>0</v>
      </c>
      <c r="BO57" s="15">
        <f>BO58+BO59+BO67+BO68+BO69+BO70+BO71+BO72+BO73+BO74+BO75+BO76+BO77+BO78+BO79+BO80+BO81+BO82</f>
        <v>0</v>
      </c>
      <c r="BP57" s="13" t="e">
        <f>BN57/BO57</f>
        <v>#DIV/0!</v>
      </c>
      <c r="BQ57" s="16" t="e">
        <f>BQ58+BQ59+BQ67+BQ68+BQ69+BQ70+BQ71+BQ72+BQ73+BQ74+BQ75+BQ76+BQ77+BQ78+BQ79+BQ80+BQ81+BQ82</f>
        <v>#DIV/0!</v>
      </c>
      <c r="BR57" s="16" t="e">
        <f>BR58+BR59+BR67+BR68+BR69+BR70+BR71+BR72+BR73+BR74+BR75+BR76+BR77+BR78+BR79+BR80+BR81+BR82</f>
        <v>#DIV/0!</v>
      </c>
    </row>
    <row r="58" spans="1:70" s="8" customFormat="1" ht="21.75" customHeight="1">
      <c r="A58" s="20"/>
      <c r="B58" s="30" t="s">
        <v>40</v>
      </c>
      <c r="C58" s="31"/>
      <c r="D58" s="31"/>
      <c r="E58" s="32"/>
      <c r="F58" s="32"/>
      <c r="G58" s="33" t="e">
        <f>E58/F58</f>
        <v>#DIV/0!</v>
      </c>
      <c r="H58" s="33"/>
      <c r="I58" s="33"/>
      <c r="J58" s="35">
        <v>5391</v>
      </c>
      <c r="K58" s="35"/>
      <c r="L58" s="36">
        <v>8559</v>
      </c>
      <c r="M58" s="33">
        <f>J58/L58</f>
        <v>0.629863301787592</v>
      </c>
      <c r="N58" s="41">
        <f>J58/J57*100</f>
        <v>1.6587794386426995</v>
      </c>
      <c r="O58" s="37">
        <f>L58/L57*100</f>
        <v>3.117396815221667</v>
      </c>
      <c r="P58" s="35">
        <v>14346</v>
      </c>
      <c r="Q58" s="36">
        <v>16130</v>
      </c>
      <c r="R58" s="33">
        <f>P58/Q58</f>
        <v>0.8893986360818351</v>
      </c>
      <c r="S58" s="41">
        <f>P58/P57*100</f>
        <v>1.9535989606951576</v>
      </c>
      <c r="T58" s="37">
        <f>Q58/Q57*100</f>
        <v>2.77486757877751</v>
      </c>
      <c r="U58" s="35">
        <v>25843</v>
      </c>
      <c r="V58" s="36">
        <v>27771</v>
      </c>
      <c r="W58" s="33">
        <f>U58/V58</f>
        <v>0.9305750603147168</v>
      </c>
      <c r="X58" s="41">
        <f>U58/U57*100</f>
        <v>2.2677036286943526</v>
      </c>
      <c r="Y58" s="37">
        <f>V58/V57*100</f>
        <v>3.0044399631301304</v>
      </c>
      <c r="Z58" s="35">
        <v>34699</v>
      </c>
      <c r="AA58" s="36">
        <v>34341</v>
      </c>
      <c r="AB58" s="33">
        <f>Z58/AA58</f>
        <v>1.0104248565854226</v>
      </c>
      <c r="AC58" s="41">
        <f>Z58/Z57*100</f>
        <v>2.2492456383147674</v>
      </c>
      <c r="AD58" s="37">
        <f>AA58/AA57*100</f>
        <v>2.751570248331198</v>
      </c>
      <c r="AE58" s="35">
        <v>42361</v>
      </c>
      <c r="AF58" s="36">
        <v>43436</v>
      </c>
      <c r="AG58" s="33">
        <f>AE58/AF58</f>
        <v>0.9752509439174878</v>
      </c>
      <c r="AH58" s="41">
        <f>AE58/AE57*100</f>
        <v>2.2024810082091952</v>
      </c>
      <c r="AI58" s="37">
        <f>AF58/AF57*100</f>
        <v>2.7084984470219675</v>
      </c>
      <c r="AJ58" s="35">
        <v>47400</v>
      </c>
      <c r="AK58" s="36">
        <v>57110</v>
      </c>
      <c r="AL58" s="33">
        <f>AJ58/AK58</f>
        <v>0.8299772369112239</v>
      </c>
      <c r="AM58" s="41">
        <f>AJ58/AJ57*100</f>
        <v>2.0596883787080364</v>
      </c>
      <c r="AN58" s="37">
        <f>AK58/AK57*100</f>
        <v>2.8466043613707166</v>
      </c>
      <c r="AO58" s="35"/>
      <c r="AP58" s="36"/>
      <c r="AQ58" s="33" t="e">
        <f>AO58/AP58</f>
        <v>#DIV/0!</v>
      </c>
      <c r="AR58" s="41" t="e">
        <f>AO58/AO57*100</f>
        <v>#DIV/0!</v>
      </c>
      <c r="AS58" s="37" t="e">
        <f>AP58/AP57*100</f>
        <v>#DIV/0!</v>
      </c>
      <c r="AT58" s="35"/>
      <c r="AU58" s="36"/>
      <c r="AV58" s="33" t="e">
        <f>AT58/AU58</f>
        <v>#DIV/0!</v>
      </c>
      <c r="AW58" s="41" t="e">
        <f>AT58/AT57*100</f>
        <v>#DIV/0!</v>
      </c>
      <c r="AX58" s="37" t="e">
        <f>AU58/AU57*100</f>
        <v>#DIV/0!</v>
      </c>
      <c r="AY58" s="35"/>
      <c r="AZ58" s="36"/>
      <c r="BA58" s="33" t="e">
        <f>AY58/AZ58</f>
        <v>#DIV/0!</v>
      </c>
      <c r="BB58" s="41" t="e">
        <f>AY58/AY57*100</f>
        <v>#DIV/0!</v>
      </c>
      <c r="BC58" s="37" t="e">
        <f>AZ58/AZ57*100</f>
        <v>#DIV/0!</v>
      </c>
      <c r="BD58" s="35"/>
      <c r="BE58" s="36"/>
      <c r="BF58" s="33" t="e">
        <f>BD58/BE58</f>
        <v>#DIV/0!</v>
      </c>
      <c r="BG58" s="41" t="e">
        <f>BD58/BD57*100</f>
        <v>#DIV/0!</v>
      </c>
      <c r="BH58" s="37" t="e">
        <f>BE58/BE57*100</f>
        <v>#DIV/0!</v>
      </c>
      <c r="BI58" s="35"/>
      <c r="BJ58" s="36"/>
      <c r="BK58" s="33" t="e">
        <f>BI58/BJ58</f>
        <v>#DIV/0!</v>
      </c>
      <c r="BL58" s="41" t="e">
        <f>BI58/BI57*100</f>
        <v>#DIV/0!</v>
      </c>
      <c r="BM58" s="37" t="e">
        <f>BJ58/BJ57*100</f>
        <v>#DIV/0!</v>
      </c>
      <c r="BN58" s="35"/>
      <c r="BO58" s="36"/>
      <c r="BP58" s="33" t="e">
        <f>BN58/BO58</f>
        <v>#DIV/0!</v>
      </c>
      <c r="BQ58" s="41" t="e">
        <f>BN58/BN57*100</f>
        <v>#DIV/0!</v>
      </c>
      <c r="BR58" s="37" t="e">
        <f>BO58/BO57*100</f>
        <v>#DIV/0!</v>
      </c>
    </row>
    <row r="59" spans="1:70" s="8" customFormat="1" ht="18.75" customHeight="1">
      <c r="A59" s="20"/>
      <c r="B59" s="30" t="s">
        <v>43</v>
      </c>
      <c r="C59" s="31"/>
      <c r="D59" s="31"/>
      <c r="E59" s="32"/>
      <c r="F59" s="32"/>
      <c r="G59" s="33"/>
      <c r="H59" s="33"/>
      <c r="I59" s="33"/>
      <c r="J59" s="35">
        <f>J60+J62+J63+J64+J65+J66+J61</f>
        <v>96828</v>
      </c>
      <c r="K59" s="35"/>
      <c r="L59" s="35">
        <f>L60+L62+L63+L64+L65+L66+L61</f>
        <v>94449</v>
      </c>
      <c r="M59" s="39">
        <f>J59/L59</f>
        <v>1.0251881968046248</v>
      </c>
      <c r="N59" s="41">
        <f>N60+N61+N62+N63+N64+N65+N66</f>
        <v>29.793414113317617</v>
      </c>
      <c r="O59" s="37">
        <f>O60+O61+O62+O63+O64+O65+O66</f>
        <v>34.40063229359402</v>
      </c>
      <c r="P59" s="35">
        <f>P60+P62+P63+P64+P65+P66+P61</f>
        <v>221918</v>
      </c>
      <c r="Q59" s="35">
        <f>Q60+Q62+Q63+Q64+Q65+Q66+Q61</f>
        <v>178072</v>
      </c>
      <c r="R59" s="39">
        <f>P59/Q59</f>
        <v>1.2462262455635922</v>
      </c>
      <c r="S59" s="41">
        <f>S60+S61+S62+S63+S64+S65+S66</f>
        <v>30.22018501042437</v>
      </c>
      <c r="T59" s="37">
        <f>T60+T61+T62+T63+T64+T65+T66</f>
        <v>30.633987569006127</v>
      </c>
      <c r="U59" s="35">
        <f>U60+U62+U63+U64+U65+U66+U61</f>
        <v>343955</v>
      </c>
      <c r="V59" s="35">
        <f>V60+V62+V63+V64+V65+V66+V61</f>
        <v>274960</v>
      </c>
      <c r="W59" s="39">
        <f>U59/V59</f>
        <v>1.2509274076229269</v>
      </c>
      <c r="X59" s="41">
        <f>X60+X61+X62+X63+X64+X65+X66</f>
        <v>30.18179010206114</v>
      </c>
      <c r="Y59" s="37">
        <f>Y60+Y61+Y62+Y63+Y64+Y65+Y66</f>
        <v>29.746887481986988</v>
      </c>
      <c r="Z59" s="35">
        <f>SUM(Z60:Z66)</f>
        <v>483808</v>
      </c>
      <c r="AA59" s="35">
        <f>SUM(AA60:AA66)</f>
        <v>382884</v>
      </c>
      <c r="AB59" s="39">
        <f>Z59/AA59</f>
        <v>1.2635889721168814</v>
      </c>
      <c r="AC59" s="41">
        <f>AC60+AC61+AC62+AC63+AC64+AC65+AC66</f>
        <v>31.361221758027348</v>
      </c>
      <c r="AD59" s="37">
        <f>AD60+AD61+AD62+AD63+AD64+AD65+AD66</f>
        <v>30.678554001398986</v>
      </c>
      <c r="AE59" s="35">
        <f>AE60+AE62+AE63+AE64+AE65+AE66+AE61</f>
        <v>609677</v>
      </c>
      <c r="AF59" s="35">
        <f>AF60+AF62+AF63+AF64+AF65+AF66+AF61</f>
        <v>498321</v>
      </c>
      <c r="AG59" s="39">
        <f>AE59/AF59</f>
        <v>1.2234623866945202</v>
      </c>
      <c r="AH59" s="41">
        <f>AH60+AH61+AH62+AH63+AH64+AH65+AH66</f>
        <v>31.699015926015853</v>
      </c>
      <c r="AI59" s="37">
        <f>AI60+AI61+AI62+AI63+AI64+AI65+AI66</f>
        <v>31.07334134401036</v>
      </c>
      <c r="AJ59" s="35">
        <f>AJ60+AJ62+AJ63+AJ64+AJ65+AJ66+AJ61</f>
        <v>751687</v>
      </c>
      <c r="AK59" s="35">
        <f>AK60+AK62+AK63+AK64+AK65+AK66+AK61</f>
        <v>631046</v>
      </c>
      <c r="AL59" s="39">
        <f>AJ59/AK59</f>
        <v>1.1911762375484514</v>
      </c>
      <c r="AM59" s="41">
        <f>AM60+AM61+AM62+AM63+AM64+AM65+AM66</f>
        <v>32.663311779027595</v>
      </c>
      <c r="AN59" s="37">
        <f>AN60+AN61+AN62+AN63+AN64+AN65+AN66</f>
        <v>31.45400623052959</v>
      </c>
      <c r="AO59" s="35">
        <f>AO60+AO62+AO63+AO64+AO65+AO66+AO61</f>
        <v>0</v>
      </c>
      <c r="AP59" s="35">
        <f>AP60+AP62+AP63+AP64+AP65+AP66+AP61</f>
        <v>0</v>
      </c>
      <c r="AQ59" s="39" t="e">
        <f>AO59/AP59</f>
        <v>#DIV/0!</v>
      </c>
      <c r="AR59" s="41" t="e">
        <f>AR60+AR61+AR62+AR63+AR64+AR65+AR66</f>
        <v>#DIV/0!</v>
      </c>
      <c r="AS59" s="37" t="e">
        <f>AS60+AS61+AS62+AS63+AS64+AS65+AS66</f>
        <v>#DIV/0!</v>
      </c>
      <c r="AT59" s="35">
        <f>AT60+AT62+AT63+AT64+AT65+AT66+AT61</f>
        <v>0</v>
      </c>
      <c r="AU59" s="35">
        <f>AU60+AU62+AU63+AU64+AU65+AU66+AU61</f>
        <v>0</v>
      </c>
      <c r="AV59" s="39" t="e">
        <f>AT59/AU59</f>
        <v>#DIV/0!</v>
      </c>
      <c r="AW59" s="41" t="e">
        <f>AW60+AW61+AW62+AW63+AW64+AW65+AW66</f>
        <v>#DIV/0!</v>
      </c>
      <c r="AX59" s="37" t="e">
        <f>AX60+AX61+AX62+AX63+AX64+AX65+AX66</f>
        <v>#DIV/0!</v>
      </c>
      <c r="AY59" s="35">
        <f>AY60+AY62+AY63+AY64+AY65+AY66+AY61</f>
        <v>0</v>
      </c>
      <c r="AZ59" s="35">
        <f>AZ60+AZ62+AZ63+AZ64+AZ65+AZ66+AZ61</f>
        <v>0</v>
      </c>
      <c r="BA59" s="39" t="e">
        <f>AY59/AZ59</f>
        <v>#DIV/0!</v>
      </c>
      <c r="BB59" s="41" t="e">
        <f>BB60+BB61+BB62+BB63+BB64+BB65+BB66</f>
        <v>#DIV/0!</v>
      </c>
      <c r="BC59" s="37" t="e">
        <f>BC60+BC61+BC62+BC63+BC64+BC65+BC66</f>
        <v>#DIV/0!</v>
      </c>
      <c r="BD59" s="35">
        <f>BD60+BD62+BD63+BD64+BD65+BD66+BD61</f>
        <v>0</v>
      </c>
      <c r="BE59" s="35">
        <f>BE60+BE62+BE63+BE64+BE65+BE66+BE61</f>
        <v>0</v>
      </c>
      <c r="BF59" s="39" t="e">
        <f>BD59/BE59</f>
        <v>#DIV/0!</v>
      </c>
      <c r="BG59" s="41" t="e">
        <f>BG60+BG61+BG62+BG63+BG64+BG65+BG66</f>
        <v>#DIV/0!</v>
      </c>
      <c r="BH59" s="37" t="e">
        <f>BH60+BH61+BH62+BH63+BH64+BH65+BH66</f>
        <v>#DIV/0!</v>
      </c>
      <c r="BI59" s="35">
        <f>BI60+BI62+BI63+BI64+BI65+BI66+BI61</f>
        <v>0</v>
      </c>
      <c r="BJ59" s="35">
        <f>BJ60+BJ62+BJ63+BJ64+BJ65+BJ66+BJ61</f>
        <v>0</v>
      </c>
      <c r="BK59" s="39" t="e">
        <f>BI59/BJ59</f>
        <v>#DIV/0!</v>
      </c>
      <c r="BL59" s="41" t="e">
        <f>BL60+BL61+BL62+BL63+BL64+BL65+BL66</f>
        <v>#DIV/0!</v>
      </c>
      <c r="BM59" s="37" t="e">
        <f>BM60+BM61+BM62+BM63+BM64+BM65+BM66</f>
        <v>#DIV/0!</v>
      </c>
      <c r="BN59" s="35">
        <f>SUM(BN60:BN66)</f>
        <v>0</v>
      </c>
      <c r="BO59" s="35">
        <f>SUM(BO60:BO66)</f>
        <v>0</v>
      </c>
      <c r="BP59" s="39" t="e">
        <f>BN59/BO59</f>
        <v>#DIV/0!</v>
      </c>
      <c r="BQ59" s="41" t="e">
        <f>BQ60+BQ61+BQ62+BQ63+BQ64+BQ65+BQ66</f>
        <v>#DIV/0!</v>
      </c>
      <c r="BR59" s="37" t="e">
        <f>BR60+BR61+BR62+BR63+BR64+BR65+BR66</f>
        <v>#DIV/0!</v>
      </c>
    </row>
    <row r="60" spans="1:70" s="8" customFormat="1" ht="18.75" customHeight="1">
      <c r="A60" s="42"/>
      <c r="B60" s="43" t="s">
        <v>71</v>
      </c>
      <c r="C60" s="31"/>
      <c r="D60" s="31"/>
      <c r="E60" s="27"/>
      <c r="F60" s="27"/>
      <c r="G60" s="39" t="e">
        <f>E60/F60</f>
        <v>#DIV/0!</v>
      </c>
      <c r="H60" s="39"/>
      <c r="I60" s="39"/>
      <c r="J60" s="44">
        <v>38079</v>
      </c>
      <c r="K60" s="44"/>
      <c r="L60" s="45">
        <v>27085</v>
      </c>
      <c r="M60" s="39">
        <f>J60/L60</f>
        <v>1.4059073287797674</v>
      </c>
      <c r="N60" s="56">
        <f>J60/J57*100</f>
        <v>11.716687487307615</v>
      </c>
      <c r="O60" s="46">
        <f>L60/L57*100</f>
        <v>9.865018429755679</v>
      </c>
      <c r="P60" s="44">
        <v>78730</v>
      </c>
      <c r="Q60" s="45">
        <v>56055</v>
      </c>
      <c r="R60" s="39">
        <f>P60/Q60</f>
        <v>1.4045134243154045</v>
      </c>
      <c r="S60" s="56">
        <f>P60/P57*100</f>
        <v>10.721235617979211</v>
      </c>
      <c r="T60" s="46">
        <f>Q60/Q57*100</f>
        <v>9.643223938522835</v>
      </c>
      <c r="U60" s="44">
        <v>122835</v>
      </c>
      <c r="V60" s="45">
        <v>87658</v>
      </c>
      <c r="W60" s="39">
        <f>U60/V60</f>
        <v>1.4012982272011683</v>
      </c>
      <c r="X60" s="56">
        <f>U60/U57*100</f>
        <v>10.778677987488713</v>
      </c>
      <c r="Y60" s="46">
        <f>V60/V57*100</f>
        <v>9.48338908530701</v>
      </c>
      <c r="Z60" s="44">
        <v>167161</v>
      </c>
      <c r="AA60" s="45">
        <v>117556</v>
      </c>
      <c r="AB60" s="39">
        <f>Z60/AA60</f>
        <v>1.421969104086563</v>
      </c>
      <c r="AC60" s="56">
        <f>Z60/Z57*100</f>
        <v>10.83564800560059</v>
      </c>
      <c r="AD60" s="46">
        <f>AA60/AA57*100</f>
        <v>9.419166364195053</v>
      </c>
      <c r="AE60" s="44">
        <v>195811</v>
      </c>
      <c r="AF60" s="45">
        <v>148175</v>
      </c>
      <c r="AG60" s="39">
        <f>AE60/AF60</f>
        <v>1.3214847308925257</v>
      </c>
      <c r="AH60" s="56">
        <f>AE60/AE57*100</f>
        <v>10.180826909148763</v>
      </c>
      <c r="AI60" s="46">
        <f>AF60/AF57*100</f>
        <v>9.239611322117138</v>
      </c>
      <c r="AJ60" s="44">
        <v>239871</v>
      </c>
      <c r="AK60" s="45">
        <v>177588</v>
      </c>
      <c r="AL60" s="39">
        <f>AJ60/AK60</f>
        <v>1.3507162646124737</v>
      </c>
      <c r="AM60" s="56">
        <f>AJ60/AJ57*100</f>
        <v>10.423196436478385</v>
      </c>
      <c r="AN60" s="46">
        <f>AK60/AK57*100</f>
        <v>8.85173831775701</v>
      </c>
      <c r="AO60" s="44"/>
      <c r="AP60" s="45"/>
      <c r="AQ60" s="39" t="e">
        <f>AO60/AP60</f>
        <v>#DIV/0!</v>
      </c>
      <c r="AR60" s="56" t="e">
        <f>AO60/AO57*100</f>
        <v>#DIV/0!</v>
      </c>
      <c r="AS60" s="46" t="e">
        <f>AP60/AP57*100</f>
        <v>#DIV/0!</v>
      </c>
      <c r="AT60" s="44"/>
      <c r="AU60" s="45"/>
      <c r="AV60" s="39" t="e">
        <f>AT60/AU60</f>
        <v>#DIV/0!</v>
      </c>
      <c r="AW60" s="56" t="e">
        <f>AT60/AT57*100</f>
        <v>#DIV/0!</v>
      </c>
      <c r="AX60" s="46" t="e">
        <f>AU60/AU57*100</f>
        <v>#DIV/0!</v>
      </c>
      <c r="AY60" s="44"/>
      <c r="AZ60" s="45"/>
      <c r="BA60" s="39" t="e">
        <f>AY60/AZ60</f>
        <v>#DIV/0!</v>
      </c>
      <c r="BB60" s="56" t="e">
        <f>AY60/AY57*100</f>
        <v>#DIV/0!</v>
      </c>
      <c r="BC60" s="46" t="e">
        <f>AZ60/AZ57*100</f>
        <v>#DIV/0!</v>
      </c>
      <c r="BD60" s="44"/>
      <c r="BE60" s="45"/>
      <c r="BF60" s="39" t="e">
        <f>BD60/BE60</f>
        <v>#DIV/0!</v>
      </c>
      <c r="BG60" s="56" t="e">
        <f>BD60/BD57*100</f>
        <v>#DIV/0!</v>
      </c>
      <c r="BH60" s="46" t="e">
        <f>BE60/BE57*100</f>
        <v>#DIV/0!</v>
      </c>
      <c r="BI60" s="44"/>
      <c r="BJ60" s="45"/>
      <c r="BK60" s="39" t="e">
        <f>BI60/BJ60</f>
        <v>#DIV/0!</v>
      </c>
      <c r="BL60" s="56" t="e">
        <f>BI60/BI57*100</f>
        <v>#DIV/0!</v>
      </c>
      <c r="BM60" s="46" t="e">
        <f>BJ60/BJ57*100</f>
        <v>#DIV/0!</v>
      </c>
      <c r="BN60" s="44"/>
      <c r="BO60" s="45"/>
      <c r="BP60" s="39" t="e">
        <f>BN60/BO60</f>
        <v>#DIV/0!</v>
      </c>
      <c r="BQ60" s="56" t="e">
        <f>BN60/BN57*100</f>
        <v>#DIV/0!</v>
      </c>
      <c r="BR60" s="46" t="e">
        <f>BO60/BO57*100</f>
        <v>#DIV/0!</v>
      </c>
    </row>
    <row r="61" spans="1:70" s="8" customFormat="1" ht="30" customHeight="1">
      <c r="A61" s="42"/>
      <c r="B61" s="43" t="s">
        <v>51</v>
      </c>
      <c r="C61" s="31"/>
      <c r="D61" s="31"/>
      <c r="E61" s="27"/>
      <c r="F61" s="27"/>
      <c r="G61" s="39"/>
      <c r="H61" s="39"/>
      <c r="I61" s="39"/>
      <c r="J61" s="44"/>
      <c r="K61" s="44"/>
      <c r="L61" s="45"/>
      <c r="M61" s="39">
        <v>0</v>
      </c>
      <c r="N61" s="56">
        <f>J61/J57*100</f>
        <v>0</v>
      </c>
      <c r="O61" s="46">
        <f>L61/L57*100</f>
        <v>0</v>
      </c>
      <c r="P61" s="44"/>
      <c r="Q61" s="45"/>
      <c r="R61" s="39">
        <v>0</v>
      </c>
      <c r="S61" s="56">
        <f>P61/P57*100</f>
        <v>0</v>
      </c>
      <c r="T61" s="46">
        <f>Q61/Q57*100</f>
        <v>0</v>
      </c>
      <c r="U61" s="44"/>
      <c r="V61" s="45"/>
      <c r="W61" s="39">
        <v>0</v>
      </c>
      <c r="X61" s="56">
        <f>U61/U57*100</f>
        <v>0</v>
      </c>
      <c r="Y61" s="46">
        <f>V61/V57*100</f>
        <v>0</v>
      </c>
      <c r="Z61" s="44"/>
      <c r="AA61" s="45"/>
      <c r="AB61" s="39">
        <v>0</v>
      </c>
      <c r="AC61" s="56">
        <f>Z61/Z57*100</f>
        <v>0</v>
      </c>
      <c r="AD61" s="46">
        <f>AA61/AA57*100</f>
        <v>0</v>
      </c>
      <c r="AE61" s="44"/>
      <c r="AF61" s="45"/>
      <c r="AG61" s="39" t="e">
        <f>AE61/AF61</f>
        <v>#DIV/0!</v>
      </c>
      <c r="AH61" s="56">
        <f>AE61/AE57*100</f>
        <v>0</v>
      </c>
      <c r="AI61" s="46">
        <f>AF61/AF57*100</f>
        <v>0</v>
      </c>
      <c r="AJ61" s="44"/>
      <c r="AK61" s="45"/>
      <c r="AL61" s="39">
        <v>0</v>
      </c>
      <c r="AM61" s="56">
        <f>AJ61/AJ57*100</f>
        <v>0</v>
      </c>
      <c r="AN61" s="46">
        <f>AK61/AK57*100</f>
        <v>0</v>
      </c>
      <c r="AO61" s="44"/>
      <c r="AP61" s="45"/>
      <c r="AQ61" s="39">
        <v>0</v>
      </c>
      <c r="AR61" s="56" t="e">
        <f>AO61/AO57*100</f>
        <v>#DIV/0!</v>
      </c>
      <c r="AS61" s="46" t="e">
        <f>AP61/AP57*100</f>
        <v>#DIV/0!</v>
      </c>
      <c r="AT61" s="44"/>
      <c r="AU61" s="45"/>
      <c r="AV61" s="39">
        <v>0</v>
      </c>
      <c r="AW61" s="56" t="e">
        <f>AT61/AT57*100</f>
        <v>#DIV/0!</v>
      </c>
      <c r="AX61" s="46" t="e">
        <f>AU61/AU57*100</f>
        <v>#DIV/0!</v>
      </c>
      <c r="AY61" s="44"/>
      <c r="AZ61" s="45"/>
      <c r="BA61" s="39">
        <v>0</v>
      </c>
      <c r="BB61" s="56" t="e">
        <f>AY61/AY57*100</f>
        <v>#DIV/0!</v>
      </c>
      <c r="BC61" s="46" t="e">
        <f>AZ61/AZ57*100</f>
        <v>#DIV/0!</v>
      </c>
      <c r="BD61" s="44"/>
      <c r="BE61" s="45"/>
      <c r="BF61" s="39" t="e">
        <f>BD61/BE61</f>
        <v>#DIV/0!</v>
      </c>
      <c r="BG61" s="56" t="e">
        <f>BD61/BD57*100</f>
        <v>#DIV/0!</v>
      </c>
      <c r="BH61" s="46" t="e">
        <f>BE61/BE57*100</f>
        <v>#DIV/0!</v>
      </c>
      <c r="BI61" s="44"/>
      <c r="BJ61" s="45"/>
      <c r="BK61" s="39" t="e">
        <f>BI61/BJ61</f>
        <v>#DIV/0!</v>
      </c>
      <c r="BL61" s="56" t="e">
        <f>BI61/BI57*100</f>
        <v>#DIV/0!</v>
      </c>
      <c r="BM61" s="46" t="e">
        <f>BJ61/BJ57*100</f>
        <v>#DIV/0!</v>
      </c>
      <c r="BN61" s="44"/>
      <c r="BO61" s="45"/>
      <c r="BP61" s="39" t="e">
        <f>BN61/BO61</f>
        <v>#DIV/0!</v>
      </c>
      <c r="BQ61" s="56" t="e">
        <f>BN61/BN57*100</f>
        <v>#DIV/0!</v>
      </c>
      <c r="BR61" s="46" t="e">
        <f>BO61/BO57*100</f>
        <v>#DIV/0!</v>
      </c>
    </row>
    <row r="62" spans="1:70" s="8" customFormat="1" ht="30" customHeight="1">
      <c r="A62" s="20"/>
      <c r="B62" s="43" t="s">
        <v>52</v>
      </c>
      <c r="C62" s="31"/>
      <c r="D62" s="31"/>
      <c r="E62" s="27"/>
      <c r="F62" s="27"/>
      <c r="G62" s="39" t="e">
        <f>E62/F62</f>
        <v>#DIV/0!</v>
      </c>
      <c r="H62" s="39"/>
      <c r="I62" s="39"/>
      <c r="J62" s="44">
        <v>1107</v>
      </c>
      <c r="K62" s="44"/>
      <c r="L62" s="45">
        <v>1013</v>
      </c>
      <c r="M62" s="39">
        <f>J62/L62</f>
        <v>1.0927936821322803</v>
      </c>
      <c r="N62" s="56">
        <f>J62/J57*100</f>
        <v>0.3406174807229583</v>
      </c>
      <c r="O62" s="46">
        <f>L62/L57*100</f>
        <v>0.36895933798569325</v>
      </c>
      <c r="P62" s="44">
        <v>2498</v>
      </c>
      <c r="Q62" s="45">
        <v>2180</v>
      </c>
      <c r="R62" s="39">
        <f>P62/Q62</f>
        <v>1.1458715596330276</v>
      </c>
      <c r="S62" s="56">
        <f>P62/P57*100</f>
        <v>0.34017079351850715</v>
      </c>
      <c r="T62" s="46">
        <f>Q62/Q57*100</f>
        <v>0.3750286002315543</v>
      </c>
      <c r="U62" s="44">
        <v>4002</v>
      </c>
      <c r="V62" s="45">
        <v>3422</v>
      </c>
      <c r="W62" s="39">
        <f aca="true" t="shared" si="0" ref="W62:W82">U62/V62</f>
        <v>1.1694915254237288</v>
      </c>
      <c r="X62" s="56">
        <f>U62/U57*100</f>
        <v>0.35117246148027703</v>
      </c>
      <c r="Y62" s="46">
        <f>V62/V57*100</f>
        <v>0.37021329998312297</v>
      </c>
      <c r="Z62" s="44">
        <v>5495</v>
      </c>
      <c r="AA62" s="45">
        <v>4797</v>
      </c>
      <c r="AB62" s="39">
        <f aca="true" t="shared" si="1" ref="AB62:AB82">Z62/AA62</f>
        <v>1.1455076089222431</v>
      </c>
      <c r="AC62" s="56">
        <f>Z62/Z57*100</f>
        <v>0.35619484084670006</v>
      </c>
      <c r="AD62" s="46">
        <f>AA62/AA57*100</f>
        <v>0.38435929300966065</v>
      </c>
      <c r="AE62" s="44">
        <v>7163</v>
      </c>
      <c r="AF62" s="45">
        <v>6310</v>
      </c>
      <c r="AG62" s="39">
        <f aca="true" t="shared" si="2" ref="AG62:AG82">AE62/AF62</f>
        <v>1.1351822503961966</v>
      </c>
      <c r="AH62" s="56">
        <f>AE62/AE57*100</f>
        <v>0.37242679497184833</v>
      </c>
      <c r="AI62" s="46">
        <f>AF62/AF57*100</f>
        <v>0.39346682937445004</v>
      </c>
      <c r="AJ62" s="44">
        <v>8741</v>
      </c>
      <c r="AK62" s="45">
        <v>7920</v>
      </c>
      <c r="AL62" s="39">
        <f>AJ62/AK62</f>
        <v>1.1036616161616162</v>
      </c>
      <c r="AM62" s="56">
        <f>AJ62/AJ57*100</f>
        <v>0.37982565650394406</v>
      </c>
      <c r="AN62" s="46">
        <f>AK62/AK57*100</f>
        <v>0.39476635514018693</v>
      </c>
      <c r="AO62" s="44"/>
      <c r="AP62" s="45"/>
      <c r="AQ62" s="39" t="e">
        <f>AO62/AP62</f>
        <v>#DIV/0!</v>
      </c>
      <c r="AR62" s="56" t="e">
        <f>AO62/AO57*100</f>
        <v>#DIV/0!</v>
      </c>
      <c r="AS62" s="46" t="e">
        <f>AP62/AP57*100</f>
        <v>#DIV/0!</v>
      </c>
      <c r="AT62" s="44"/>
      <c r="AU62" s="45"/>
      <c r="AV62" s="39" t="e">
        <f aca="true" t="shared" si="3" ref="AV62:AV83">AT62/AU62</f>
        <v>#DIV/0!</v>
      </c>
      <c r="AW62" s="56" t="e">
        <f>AT62/AT57*100</f>
        <v>#DIV/0!</v>
      </c>
      <c r="AX62" s="46" t="e">
        <f>AU62/AU57*100</f>
        <v>#DIV/0!</v>
      </c>
      <c r="AY62" s="44"/>
      <c r="AZ62" s="45"/>
      <c r="BA62" s="39" t="e">
        <f aca="true" t="shared" si="4" ref="BA62:BA82">AY62/AZ62</f>
        <v>#DIV/0!</v>
      </c>
      <c r="BB62" s="56" t="e">
        <f>AY62/AY57*100</f>
        <v>#DIV/0!</v>
      </c>
      <c r="BC62" s="46" t="e">
        <f>AZ62/AZ57*100</f>
        <v>#DIV/0!</v>
      </c>
      <c r="BD62" s="44"/>
      <c r="BE62" s="45"/>
      <c r="BF62" s="39" t="e">
        <f aca="true" t="shared" si="5" ref="BF62:BF82">BD62/BE62</f>
        <v>#DIV/0!</v>
      </c>
      <c r="BG62" s="56" t="e">
        <f>BD62/BD57*100</f>
        <v>#DIV/0!</v>
      </c>
      <c r="BH62" s="46" t="e">
        <f>BE62/BE57*100</f>
        <v>#DIV/0!</v>
      </c>
      <c r="BI62" s="44"/>
      <c r="BJ62" s="45"/>
      <c r="BK62" s="39" t="e">
        <f aca="true" t="shared" si="6" ref="BK62:BK82">BI62/BJ62</f>
        <v>#DIV/0!</v>
      </c>
      <c r="BL62" s="56" t="e">
        <f>BI62/BI57*100</f>
        <v>#DIV/0!</v>
      </c>
      <c r="BM62" s="46" t="e">
        <f>BJ62/BJ57*100</f>
        <v>#DIV/0!</v>
      </c>
      <c r="BN62" s="44"/>
      <c r="BO62" s="45"/>
      <c r="BP62" s="39" t="e">
        <f aca="true" t="shared" si="7" ref="BP62:BP82">BN62/BO62</f>
        <v>#DIV/0!</v>
      </c>
      <c r="BQ62" s="56" t="e">
        <f>BN62/BN57*100</f>
        <v>#DIV/0!</v>
      </c>
      <c r="BR62" s="46" t="e">
        <f>BO62/BO57*100</f>
        <v>#DIV/0!</v>
      </c>
    </row>
    <row r="63" spans="1:70" s="8" customFormat="1" ht="30" customHeight="1">
      <c r="A63" s="20"/>
      <c r="B63" s="43" t="s">
        <v>55</v>
      </c>
      <c r="C63" s="31"/>
      <c r="D63" s="31"/>
      <c r="E63" s="27"/>
      <c r="F63" s="27"/>
      <c r="G63" s="39" t="e">
        <f>E63/F63</f>
        <v>#DIV/0!</v>
      </c>
      <c r="H63" s="39"/>
      <c r="I63" s="39"/>
      <c r="J63" s="27"/>
      <c r="K63" s="27"/>
      <c r="L63" s="47"/>
      <c r="M63" s="39" t="e">
        <f>J63/L63</f>
        <v>#DIV/0!</v>
      </c>
      <c r="N63" s="56">
        <f>J63/J57*100</f>
        <v>0</v>
      </c>
      <c r="O63" s="46">
        <f>L63/L57*100</f>
        <v>0</v>
      </c>
      <c r="P63" s="44"/>
      <c r="Q63" s="45"/>
      <c r="R63" s="39" t="e">
        <f>P63/Q63</f>
        <v>#DIV/0!</v>
      </c>
      <c r="S63" s="56">
        <f>P63/P57*100</f>
        <v>0</v>
      </c>
      <c r="T63" s="46">
        <f>Q63/Q57*100</f>
        <v>0</v>
      </c>
      <c r="U63" s="44"/>
      <c r="V63" s="45"/>
      <c r="W63" s="39" t="e">
        <f t="shared" si="0"/>
        <v>#DIV/0!</v>
      </c>
      <c r="X63" s="56">
        <f>U63/U57*100</f>
        <v>0</v>
      </c>
      <c r="Y63" s="46">
        <f>V63/V57*100</f>
        <v>0</v>
      </c>
      <c r="Z63" s="44"/>
      <c r="AA63" s="45"/>
      <c r="AB63" s="39" t="e">
        <f t="shared" si="1"/>
        <v>#DIV/0!</v>
      </c>
      <c r="AC63" s="56">
        <f>Z63/Z57*100</f>
        <v>0</v>
      </c>
      <c r="AD63" s="46">
        <f>AA63/AA57*100</f>
        <v>0</v>
      </c>
      <c r="AE63" s="44"/>
      <c r="AF63" s="45"/>
      <c r="AG63" s="39" t="e">
        <f t="shared" si="2"/>
        <v>#DIV/0!</v>
      </c>
      <c r="AH63" s="56">
        <f>AE63/AE57*100</f>
        <v>0</v>
      </c>
      <c r="AI63" s="46">
        <f>AF63/AF57*100</f>
        <v>0</v>
      </c>
      <c r="AJ63" s="27"/>
      <c r="AK63" s="47"/>
      <c r="AL63" s="39" t="e">
        <f>AJ63/AK63</f>
        <v>#DIV/0!</v>
      </c>
      <c r="AM63" s="56">
        <f>AJ63/AJ57*100</f>
        <v>0</v>
      </c>
      <c r="AN63" s="46">
        <f>AK63/AK57*100</f>
        <v>0</v>
      </c>
      <c r="AO63" s="44"/>
      <c r="AP63" s="45"/>
      <c r="AQ63" s="39" t="e">
        <f>AO63/AP63</f>
        <v>#DIV/0!</v>
      </c>
      <c r="AR63" s="56" t="e">
        <f>AO63/AO57*100</f>
        <v>#DIV/0!</v>
      </c>
      <c r="AS63" s="46" t="e">
        <f>AP63/AP57*100</f>
        <v>#DIV/0!</v>
      </c>
      <c r="AT63" s="44"/>
      <c r="AU63" s="45"/>
      <c r="AV63" s="39" t="e">
        <f t="shared" si="3"/>
        <v>#DIV/0!</v>
      </c>
      <c r="AW63" s="56" t="e">
        <f>AT63/AT57*100</f>
        <v>#DIV/0!</v>
      </c>
      <c r="AX63" s="46" t="e">
        <f>AU63/AU57*100</f>
        <v>#DIV/0!</v>
      </c>
      <c r="AY63" s="44"/>
      <c r="AZ63" s="45"/>
      <c r="BA63" s="39" t="e">
        <f t="shared" si="4"/>
        <v>#DIV/0!</v>
      </c>
      <c r="BB63" s="56" t="e">
        <f>AY63/AY57*100</f>
        <v>#DIV/0!</v>
      </c>
      <c r="BC63" s="46" t="e">
        <f>AZ63/AZ57*100</f>
        <v>#DIV/0!</v>
      </c>
      <c r="BD63" s="44"/>
      <c r="BE63" s="45"/>
      <c r="BF63" s="39" t="e">
        <f t="shared" si="5"/>
        <v>#DIV/0!</v>
      </c>
      <c r="BG63" s="56" t="e">
        <f>BD63/BD57*100</f>
        <v>#DIV/0!</v>
      </c>
      <c r="BH63" s="46" t="e">
        <f>BE63/BE57*100</f>
        <v>#DIV/0!</v>
      </c>
      <c r="BI63" s="44"/>
      <c r="BJ63" s="45"/>
      <c r="BK63" s="39" t="e">
        <f t="shared" si="6"/>
        <v>#DIV/0!</v>
      </c>
      <c r="BL63" s="56" t="e">
        <f>BI63/BI57*100</f>
        <v>#DIV/0!</v>
      </c>
      <c r="BM63" s="46" t="e">
        <f>BJ63/BJ57*100</f>
        <v>#DIV/0!</v>
      </c>
      <c r="BN63" s="44"/>
      <c r="BO63" s="45"/>
      <c r="BP63" s="39" t="e">
        <f t="shared" si="7"/>
        <v>#DIV/0!</v>
      </c>
      <c r="BQ63" s="56" t="e">
        <f>BN63/BN57*100</f>
        <v>#DIV/0!</v>
      </c>
      <c r="BR63" s="46" t="e">
        <f>BO63/BO57*100</f>
        <v>#DIV/0!</v>
      </c>
    </row>
    <row r="64" spans="1:70" s="8" customFormat="1" ht="29.25" customHeight="1">
      <c r="A64" s="20"/>
      <c r="B64" s="43" t="s">
        <v>56</v>
      </c>
      <c r="C64" s="31"/>
      <c r="D64" s="31"/>
      <c r="E64" s="27"/>
      <c r="F64" s="27"/>
      <c r="G64" s="39" t="e">
        <f>E64/F64</f>
        <v>#DIV/0!</v>
      </c>
      <c r="H64" s="39"/>
      <c r="I64" s="39"/>
      <c r="J64" s="44">
        <v>54238</v>
      </c>
      <c r="K64" s="44"/>
      <c r="L64" s="45">
        <v>61343</v>
      </c>
      <c r="M64" s="39">
        <f>J64/L64</f>
        <v>0.8841758635867173</v>
      </c>
      <c r="N64" s="56">
        <f>J64/J57*100</f>
        <v>16.68871808441898</v>
      </c>
      <c r="O64" s="46">
        <f>L64/L57*100</f>
        <v>22.342618627893764</v>
      </c>
      <c r="P64" s="44">
        <v>133180</v>
      </c>
      <c r="Q64" s="45">
        <v>110862</v>
      </c>
      <c r="R64" s="39">
        <f>P64/Q64</f>
        <v>1.2013133445184103</v>
      </c>
      <c r="S64" s="56">
        <f>P64/P57*100</f>
        <v>18.136087382223693</v>
      </c>
      <c r="T64" s="46">
        <f>Q64/Q57*100</f>
        <v>19.071752604986507</v>
      </c>
      <c r="U64" s="44">
        <v>203381</v>
      </c>
      <c r="V64" s="45">
        <v>166016</v>
      </c>
      <c r="W64" s="39">
        <f t="shared" si="0"/>
        <v>1.225068668080185</v>
      </c>
      <c r="X64" s="56">
        <f>U64/U57*100</f>
        <v>17.8465283329136</v>
      </c>
      <c r="Y64" s="46">
        <f>V64/V57*100</f>
        <v>17.960646174751062</v>
      </c>
      <c r="Z64" s="44">
        <v>288807</v>
      </c>
      <c r="AA64" s="45">
        <v>237301</v>
      </c>
      <c r="AB64" s="39">
        <f t="shared" si="1"/>
        <v>1.2170492328308773</v>
      </c>
      <c r="AC64" s="56">
        <f>Z64/Z57*100</f>
        <v>18.720939654306264</v>
      </c>
      <c r="AD64" s="46">
        <f>AA64/AA57*100</f>
        <v>19.013726201893995</v>
      </c>
      <c r="AE64" s="44">
        <v>373740</v>
      </c>
      <c r="AF64" s="45">
        <v>314786</v>
      </c>
      <c r="AG64" s="39">
        <f t="shared" si="2"/>
        <v>1.187282788942329</v>
      </c>
      <c r="AH64" s="56">
        <f>AE64/AE57*100</f>
        <v>19.43191265569993</v>
      </c>
      <c r="AI64" s="46">
        <f>AF64/AF57*100</f>
        <v>19.62881923161104</v>
      </c>
      <c r="AJ64" s="44">
        <v>463562</v>
      </c>
      <c r="AK64" s="45">
        <v>407946</v>
      </c>
      <c r="AL64" s="39">
        <f>AJ64/AK64</f>
        <v>1.1363317694008521</v>
      </c>
      <c r="AM64" s="56">
        <f>AJ64/AJ57*100</f>
        <v>20.14331781035137</v>
      </c>
      <c r="AN64" s="46">
        <f>AK64/AK57*100</f>
        <v>20.333757009345792</v>
      </c>
      <c r="AO64" s="44"/>
      <c r="AP64" s="45"/>
      <c r="AQ64" s="39" t="e">
        <f>AO64/AP64</f>
        <v>#DIV/0!</v>
      </c>
      <c r="AR64" s="56" t="e">
        <f>AO64/AO57*100</f>
        <v>#DIV/0!</v>
      </c>
      <c r="AS64" s="46" t="e">
        <f>AP64/AP57*100</f>
        <v>#DIV/0!</v>
      </c>
      <c r="AT64" s="44"/>
      <c r="AU64" s="45"/>
      <c r="AV64" s="39" t="e">
        <f t="shared" si="3"/>
        <v>#DIV/0!</v>
      </c>
      <c r="AW64" s="56" t="e">
        <f>AT64/AT57*100</f>
        <v>#DIV/0!</v>
      </c>
      <c r="AX64" s="46" t="e">
        <f>AU64/AU57*100</f>
        <v>#DIV/0!</v>
      </c>
      <c r="AY64" s="44"/>
      <c r="AZ64" s="45"/>
      <c r="BA64" s="39" t="e">
        <f t="shared" si="4"/>
        <v>#DIV/0!</v>
      </c>
      <c r="BB64" s="56" t="e">
        <f>AY64/AY57*100</f>
        <v>#DIV/0!</v>
      </c>
      <c r="BC64" s="46" t="e">
        <f>AZ64/AZ57*100</f>
        <v>#DIV/0!</v>
      </c>
      <c r="BD64" s="44"/>
      <c r="BE64" s="45"/>
      <c r="BF64" s="39" t="e">
        <f t="shared" si="5"/>
        <v>#DIV/0!</v>
      </c>
      <c r="BG64" s="56" t="e">
        <f>BD64/BD57*100</f>
        <v>#DIV/0!</v>
      </c>
      <c r="BH64" s="46" t="e">
        <f>BE64/BE57*100</f>
        <v>#DIV/0!</v>
      </c>
      <c r="BI64" s="44"/>
      <c r="BJ64" s="45"/>
      <c r="BK64" s="39" t="e">
        <f t="shared" si="6"/>
        <v>#DIV/0!</v>
      </c>
      <c r="BL64" s="56" t="e">
        <f>BI64/BI57*100</f>
        <v>#DIV/0!</v>
      </c>
      <c r="BM64" s="46" t="e">
        <f>BJ64/BJ57*100</f>
        <v>#DIV/0!</v>
      </c>
      <c r="BN64" s="44"/>
      <c r="BO64" s="45"/>
      <c r="BP64" s="39" t="e">
        <f t="shared" si="7"/>
        <v>#DIV/0!</v>
      </c>
      <c r="BQ64" s="56" t="e">
        <f>BN64/BN57*100</f>
        <v>#DIV/0!</v>
      </c>
      <c r="BR64" s="46" t="e">
        <f>BO64/BO57*100</f>
        <v>#DIV/0!</v>
      </c>
    </row>
    <row r="65" spans="1:70" s="8" customFormat="1" ht="29.25" customHeight="1">
      <c r="A65" s="20"/>
      <c r="B65" s="43" t="s">
        <v>57</v>
      </c>
      <c r="C65" s="31"/>
      <c r="D65" s="31"/>
      <c r="E65" s="27"/>
      <c r="F65" s="27"/>
      <c r="G65" s="39" t="e">
        <f>E65/F65</f>
        <v>#DIV/0!</v>
      </c>
      <c r="H65" s="39"/>
      <c r="I65" s="39"/>
      <c r="J65" s="44">
        <v>2406</v>
      </c>
      <c r="K65" s="44"/>
      <c r="L65" s="45">
        <v>3087</v>
      </c>
      <c r="M65" s="39">
        <f>J65/L65</f>
        <v>0.7793974732750243</v>
      </c>
      <c r="N65" s="56">
        <f>J65/J57*100</f>
        <v>0.7403122480753728</v>
      </c>
      <c r="O65" s="46">
        <f>L65/L57*100</f>
        <v>1.1243607861419893</v>
      </c>
      <c r="P65" s="44">
        <v>6251</v>
      </c>
      <c r="Q65" s="45">
        <v>5133</v>
      </c>
      <c r="R65" s="39">
        <f>P65/Q65</f>
        <v>1.2178063510617572</v>
      </c>
      <c r="S65" s="56">
        <f>P65/P57*100</f>
        <v>0.8512440473515565</v>
      </c>
      <c r="T65" s="46">
        <f>Q65/Q57*100</f>
        <v>0.8830375252241139</v>
      </c>
      <c r="U65" s="44">
        <v>10682</v>
      </c>
      <c r="V65" s="45">
        <v>13586</v>
      </c>
      <c r="W65" s="39">
        <f t="shared" si="0"/>
        <v>0.7862505520388635</v>
      </c>
      <c r="X65" s="56">
        <f>U65/U57*100</f>
        <v>0.9373373896882358</v>
      </c>
      <c r="Y65" s="46">
        <f>V65/V57*100</f>
        <v>1.4698182038488334</v>
      </c>
      <c r="Z65" s="44">
        <v>18061</v>
      </c>
      <c r="AA65" s="45">
        <v>17638</v>
      </c>
      <c r="AB65" s="39">
        <f t="shared" si="1"/>
        <v>1.0239823109196053</v>
      </c>
      <c r="AC65" s="56">
        <f>Z65/Z57*100</f>
        <v>1.170743406830255</v>
      </c>
      <c r="AD65" s="46">
        <f>AA65/AA57*100</f>
        <v>1.4132435293109016</v>
      </c>
      <c r="AE65" s="44">
        <v>26513</v>
      </c>
      <c r="AF65" s="45">
        <v>19664</v>
      </c>
      <c r="AG65" s="39">
        <f t="shared" si="2"/>
        <v>1.3483014646053701</v>
      </c>
      <c r="AH65" s="56">
        <f>AE65/AE57*100</f>
        <v>1.3784938733894478</v>
      </c>
      <c r="AI65" s="46">
        <f>AF65/AF57*100</f>
        <v>1.2261698467225337</v>
      </c>
      <c r="AJ65" s="44">
        <v>31185</v>
      </c>
      <c r="AK65" s="45">
        <v>23521</v>
      </c>
      <c r="AL65" s="39">
        <f>AJ65/AK65</f>
        <v>1.3258364865439394</v>
      </c>
      <c r="AM65" s="56">
        <f>AJ65/AJ57*100</f>
        <v>1.3550924491563316</v>
      </c>
      <c r="AN65" s="46">
        <f>AK65/AK57*100</f>
        <v>1.172386292834891</v>
      </c>
      <c r="AO65" s="44"/>
      <c r="AP65" s="45"/>
      <c r="AQ65" s="39" t="e">
        <f>AO65/AP65</f>
        <v>#DIV/0!</v>
      </c>
      <c r="AR65" s="56" t="e">
        <f>AO65/AO57*100</f>
        <v>#DIV/0!</v>
      </c>
      <c r="AS65" s="46" t="e">
        <f>AP65/AP57*100</f>
        <v>#DIV/0!</v>
      </c>
      <c r="AT65" s="44"/>
      <c r="AU65" s="45"/>
      <c r="AV65" s="39" t="e">
        <f t="shared" si="3"/>
        <v>#DIV/0!</v>
      </c>
      <c r="AW65" s="56" t="e">
        <f>AT65/AT57*100</f>
        <v>#DIV/0!</v>
      </c>
      <c r="AX65" s="46" t="e">
        <f>AU65/AU57*100</f>
        <v>#DIV/0!</v>
      </c>
      <c r="AY65" s="44"/>
      <c r="AZ65" s="45"/>
      <c r="BA65" s="39" t="e">
        <f t="shared" si="4"/>
        <v>#DIV/0!</v>
      </c>
      <c r="BB65" s="56" t="e">
        <f>AY65/AY57*100</f>
        <v>#DIV/0!</v>
      </c>
      <c r="BC65" s="46" t="e">
        <f>AZ65/AZ57*100</f>
        <v>#DIV/0!</v>
      </c>
      <c r="BD65" s="44"/>
      <c r="BE65" s="45"/>
      <c r="BF65" s="39" t="e">
        <f t="shared" si="5"/>
        <v>#DIV/0!</v>
      </c>
      <c r="BG65" s="56" t="e">
        <f>BD65/BD57*100</f>
        <v>#DIV/0!</v>
      </c>
      <c r="BH65" s="46" t="e">
        <f>BE65/BE57*100</f>
        <v>#DIV/0!</v>
      </c>
      <c r="BI65" s="44"/>
      <c r="BJ65" s="45"/>
      <c r="BK65" s="39" t="e">
        <f t="shared" si="6"/>
        <v>#DIV/0!</v>
      </c>
      <c r="BL65" s="56" t="e">
        <f>BI65/BI57*100</f>
        <v>#DIV/0!</v>
      </c>
      <c r="BM65" s="46" t="e">
        <f>BJ65/BJ57*100</f>
        <v>#DIV/0!</v>
      </c>
      <c r="BN65" s="44"/>
      <c r="BO65" s="45"/>
      <c r="BP65" s="39" t="e">
        <f t="shared" si="7"/>
        <v>#DIV/0!</v>
      </c>
      <c r="BQ65" s="56" t="e">
        <f>BN65/BN57*100</f>
        <v>#DIV/0!</v>
      </c>
      <c r="BR65" s="46" t="e">
        <f>BO65/BO57*100</f>
        <v>#DIV/0!</v>
      </c>
    </row>
    <row r="66" spans="1:70" s="8" customFormat="1" ht="29.25" customHeight="1">
      <c r="A66" s="20"/>
      <c r="B66" s="43" t="s">
        <v>58</v>
      </c>
      <c r="C66" s="31"/>
      <c r="D66" s="31"/>
      <c r="E66" s="27"/>
      <c r="F66" s="27"/>
      <c r="G66" s="39"/>
      <c r="H66" s="39"/>
      <c r="I66" s="39"/>
      <c r="J66" s="44">
        <v>998</v>
      </c>
      <c r="K66" s="44"/>
      <c r="L66" s="45">
        <v>1921</v>
      </c>
      <c r="M66" s="39">
        <v>0</v>
      </c>
      <c r="N66" s="56">
        <f>J66/J57*100</f>
        <v>0.3070788127926941</v>
      </c>
      <c r="O66" s="46">
        <f>L66/L57*100</f>
        <v>0.6996751118168971</v>
      </c>
      <c r="P66" s="44">
        <v>1259</v>
      </c>
      <c r="Q66" s="45">
        <v>3842</v>
      </c>
      <c r="R66" s="39">
        <v>0</v>
      </c>
      <c r="S66" s="56">
        <f>P66/P57*100</f>
        <v>0.17144716935140134</v>
      </c>
      <c r="T66" s="46">
        <f>Q66/Q57*100</f>
        <v>0.6609449000411155</v>
      </c>
      <c r="U66" s="44">
        <v>3055</v>
      </c>
      <c r="V66" s="45">
        <v>4278</v>
      </c>
      <c r="W66" s="39">
        <f t="shared" si="0"/>
        <v>0.7141187470780739</v>
      </c>
      <c r="X66" s="56">
        <f>U66/U57*100</f>
        <v>0.26807393049031647</v>
      </c>
      <c r="Y66" s="46">
        <f>V66/V57*100</f>
        <v>0.46282071809696085</v>
      </c>
      <c r="Z66" s="44">
        <v>4284</v>
      </c>
      <c r="AA66" s="45">
        <v>5592</v>
      </c>
      <c r="AB66" s="39">
        <f t="shared" si="1"/>
        <v>0.7660944206008584</v>
      </c>
      <c r="AC66" s="56">
        <f>Z66/Z57*100</f>
        <v>0.277695850443542</v>
      </c>
      <c r="AD66" s="46">
        <f>AA66/AA57*100</f>
        <v>0.44805861298937305</v>
      </c>
      <c r="AE66" s="44">
        <v>6450</v>
      </c>
      <c r="AF66" s="45">
        <v>9386</v>
      </c>
      <c r="AG66" s="39">
        <f t="shared" si="2"/>
        <v>0.6871936927338589</v>
      </c>
      <c r="AH66" s="56">
        <f>AE66/AE57*100</f>
        <v>0.33535569280586647</v>
      </c>
      <c r="AI66" s="46">
        <f>AF66/AF57*100</f>
        <v>0.5852741141851964</v>
      </c>
      <c r="AJ66" s="44">
        <v>8328</v>
      </c>
      <c r="AK66" s="45">
        <v>14071</v>
      </c>
      <c r="AL66" s="39">
        <v>0</v>
      </c>
      <c r="AM66" s="56">
        <f>AJ66/AJ57*100</f>
        <v>0.3618794265375639</v>
      </c>
      <c r="AN66" s="46">
        <f>AK66/AK57*100</f>
        <v>0.7013582554517134</v>
      </c>
      <c r="AO66" s="44"/>
      <c r="AP66" s="45"/>
      <c r="AQ66" s="39">
        <v>0</v>
      </c>
      <c r="AR66" s="56" t="e">
        <f>AO66/AO57*100</f>
        <v>#DIV/0!</v>
      </c>
      <c r="AS66" s="46" t="e">
        <f>AP66/AP57*100</f>
        <v>#DIV/0!</v>
      </c>
      <c r="AT66" s="44"/>
      <c r="AU66" s="45"/>
      <c r="AV66" s="39" t="e">
        <f t="shared" si="3"/>
        <v>#DIV/0!</v>
      </c>
      <c r="AW66" s="56" t="e">
        <f>AT66/AT57*100</f>
        <v>#DIV/0!</v>
      </c>
      <c r="AX66" s="46" t="e">
        <f>AU66/AU57*100</f>
        <v>#DIV/0!</v>
      </c>
      <c r="AY66" s="44"/>
      <c r="AZ66" s="45"/>
      <c r="BA66" s="39" t="e">
        <f t="shared" si="4"/>
        <v>#DIV/0!</v>
      </c>
      <c r="BB66" s="56" t="e">
        <f>AY66/AY57*100</f>
        <v>#DIV/0!</v>
      </c>
      <c r="BC66" s="46" t="e">
        <f>AZ66/AZ57*100</f>
        <v>#DIV/0!</v>
      </c>
      <c r="BD66" s="44"/>
      <c r="BE66" s="45"/>
      <c r="BF66" s="39" t="e">
        <f t="shared" si="5"/>
        <v>#DIV/0!</v>
      </c>
      <c r="BG66" s="56" t="e">
        <f>BD66/BD57*100</f>
        <v>#DIV/0!</v>
      </c>
      <c r="BH66" s="46" t="e">
        <f>BE66/BE57*100</f>
        <v>#DIV/0!</v>
      </c>
      <c r="BI66" s="44"/>
      <c r="BJ66" s="45"/>
      <c r="BK66" s="39" t="e">
        <f t="shared" si="6"/>
        <v>#DIV/0!</v>
      </c>
      <c r="BL66" s="56" t="e">
        <f>BI66/BI57*100</f>
        <v>#DIV/0!</v>
      </c>
      <c r="BM66" s="46" t="e">
        <f>BJ66/BJ57*100</f>
        <v>#DIV/0!</v>
      </c>
      <c r="BN66" s="44"/>
      <c r="BO66" s="45"/>
      <c r="BP66" s="39" t="e">
        <f t="shared" si="7"/>
        <v>#DIV/0!</v>
      </c>
      <c r="BQ66" s="56" t="e">
        <f>BN66/BN57*100</f>
        <v>#DIV/0!</v>
      </c>
      <c r="BR66" s="46" t="e">
        <f>BO66/BO57*100</f>
        <v>#DIV/0!</v>
      </c>
    </row>
    <row r="67" spans="1:70" s="8" customFormat="1" ht="29.25" customHeight="1">
      <c r="A67" s="20"/>
      <c r="B67" s="30" t="s">
        <v>60</v>
      </c>
      <c r="C67" s="31"/>
      <c r="D67" s="31"/>
      <c r="E67" s="32"/>
      <c r="F67" s="32"/>
      <c r="G67" s="33" t="e">
        <f>E67/F67</f>
        <v>#DIV/0!</v>
      </c>
      <c r="H67" s="33"/>
      <c r="I67" s="33"/>
      <c r="J67" s="44">
        <v>68093</v>
      </c>
      <c r="K67" s="35"/>
      <c r="L67" s="45">
        <v>64944</v>
      </c>
      <c r="M67" s="33">
        <f aca="true" t="shared" si="8" ref="M67:M82">J67/L67</f>
        <v>1.0484879280610988</v>
      </c>
      <c r="N67" s="41">
        <f>J67/J57*100</f>
        <v>20.951821241976873</v>
      </c>
      <c r="O67" s="37">
        <f>L67/L57*100</f>
        <v>23.65419076618249</v>
      </c>
      <c r="P67" s="35">
        <v>175679</v>
      </c>
      <c r="Q67" s="36">
        <v>154222</v>
      </c>
      <c r="R67" s="33">
        <f aca="true" t="shared" si="9" ref="R67:R82">P67/Q67</f>
        <v>1.1391306039345879</v>
      </c>
      <c r="S67" s="41">
        <f>P67/P57*100</f>
        <v>23.923484721592402</v>
      </c>
      <c r="T67" s="37">
        <f>Q67/Q57*100</f>
        <v>26.531037057298523</v>
      </c>
      <c r="U67" s="35">
        <v>272411</v>
      </c>
      <c r="V67" s="36">
        <v>246507</v>
      </c>
      <c r="W67" s="33">
        <f t="shared" si="0"/>
        <v>1.105084236958788</v>
      </c>
      <c r="X67" s="41">
        <f>U67/U57*100</f>
        <v>23.903858421865003</v>
      </c>
      <c r="Y67" s="37">
        <f>V67/V57*100</f>
        <v>26.66866450582691</v>
      </c>
      <c r="Z67" s="35">
        <v>309947</v>
      </c>
      <c r="AA67" s="36">
        <v>307752</v>
      </c>
      <c r="AB67" s="33">
        <f t="shared" si="1"/>
        <v>1.0071323663209337</v>
      </c>
      <c r="AC67" s="41">
        <f>Z67/Z57*100</f>
        <v>20.09126885093943</v>
      </c>
      <c r="AD67" s="37">
        <f>AA67/AA57*100</f>
        <v>24.6586077011276</v>
      </c>
      <c r="AE67" s="35">
        <v>351349</v>
      </c>
      <c r="AF67" s="36">
        <v>340967</v>
      </c>
      <c r="AG67" s="33">
        <f t="shared" si="2"/>
        <v>1.0304486944484363</v>
      </c>
      <c r="AH67" s="41">
        <f>AE67/AE57*100</f>
        <v>18.26773446692223</v>
      </c>
      <c r="AI67" s="37">
        <f>AF67/AF57*100</f>
        <v>21.261363615105882</v>
      </c>
      <c r="AJ67" s="35">
        <v>389663</v>
      </c>
      <c r="AK67" s="36">
        <v>375429</v>
      </c>
      <c r="AL67" s="33">
        <f aca="true" t="shared" si="10" ref="AL67:AL82">AJ67/AK67</f>
        <v>1.037913959763364</v>
      </c>
      <c r="AM67" s="41">
        <f>AJ67/AJ57*100</f>
        <v>16.932159339926365</v>
      </c>
      <c r="AN67" s="37">
        <f>AK67/AK57*100</f>
        <v>18.712971962616823</v>
      </c>
      <c r="AO67" s="35"/>
      <c r="AP67" s="36"/>
      <c r="AQ67" s="33" t="e">
        <f aca="true" t="shared" si="11" ref="AQ67:AQ82">AO67/AP67</f>
        <v>#DIV/0!</v>
      </c>
      <c r="AR67" s="41" t="e">
        <f>AO67/AO57*100</f>
        <v>#DIV/0!</v>
      </c>
      <c r="AS67" s="37" t="e">
        <f>AP67/AP57*100</f>
        <v>#DIV/0!</v>
      </c>
      <c r="AT67" s="35"/>
      <c r="AU67" s="36"/>
      <c r="AV67" s="33" t="e">
        <f t="shared" si="3"/>
        <v>#DIV/0!</v>
      </c>
      <c r="AW67" s="41" t="e">
        <f>AT67/AT57*100</f>
        <v>#DIV/0!</v>
      </c>
      <c r="AX67" s="37" t="e">
        <f>AU67/AU57*100</f>
        <v>#DIV/0!</v>
      </c>
      <c r="AY67" s="35"/>
      <c r="AZ67" s="36"/>
      <c r="BA67" s="33" t="e">
        <f t="shared" si="4"/>
        <v>#DIV/0!</v>
      </c>
      <c r="BB67" s="41" t="e">
        <f>AY67/AY57*100</f>
        <v>#DIV/0!</v>
      </c>
      <c r="BC67" s="37" t="e">
        <f>AZ67/AZ57*100</f>
        <v>#DIV/0!</v>
      </c>
      <c r="BD67" s="35"/>
      <c r="BE67" s="36"/>
      <c r="BF67" s="33" t="e">
        <f t="shared" si="5"/>
        <v>#DIV/0!</v>
      </c>
      <c r="BG67" s="41" t="e">
        <f>BD67/BD57*100</f>
        <v>#DIV/0!</v>
      </c>
      <c r="BH67" s="37" t="e">
        <f>BE67/BE57*100</f>
        <v>#DIV/0!</v>
      </c>
      <c r="BI67" s="35"/>
      <c r="BJ67" s="36"/>
      <c r="BK67" s="33" t="e">
        <f t="shared" si="6"/>
        <v>#DIV/0!</v>
      </c>
      <c r="BL67" s="41" t="e">
        <f>BI67/BI57*100</f>
        <v>#DIV/0!</v>
      </c>
      <c r="BM67" s="37" t="e">
        <f>BJ67/BJ57*100</f>
        <v>#DIV/0!</v>
      </c>
      <c r="BN67" s="35"/>
      <c r="BO67" s="36"/>
      <c r="BP67" s="33" t="e">
        <f t="shared" si="7"/>
        <v>#DIV/0!</v>
      </c>
      <c r="BQ67" s="41" t="e">
        <f>BN67/BN57*100</f>
        <v>#DIV/0!</v>
      </c>
      <c r="BR67" s="37" t="e">
        <f>BO67/BO57*100</f>
        <v>#DIV/0!</v>
      </c>
    </row>
    <row r="68" spans="1:70" s="8" customFormat="1" ht="31.5" customHeight="1">
      <c r="A68" s="20"/>
      <c r="B68" s="30" t="s">
        <v>72</v>
      </c>
      <c r="C68" s="31"/>
      <c r="D68" s="31"/>
      <c r="E68" s="32"/>
      <c r="F68" s="32"/>
      <c r="G68" s="33"/>
      <c r="H68" s="33"/>
      <c r="I68" s="33"/>
      <c r="J68" s="35">
        <v>3167</v>
      </c>
      <c r="K68" s="35"/>
      <c r="L68" s="35">
        <v>4330</v>
      </c>
      <c r="M68" s="33">
        <f t="shared" si="8"/>
        <v>0.7314087759815242</v>
      </c>
      <c r="N68" s="56">
        <f>J68/J57*100</f>
        <v>0.9744675351848319</v>
      </c>
      <c r="O68" s="46">
        <f>L68/L57*100</f>
        <v>1.5770917408470402</v>
      </c>
      <c r="P68" s="35">
        <v>8148</v>
      </c>
      <c r="Q68" s="35">
        <v>9052</v>
      </c>
      <c r="R68" s="33">
        <f t="shared" si="9"/>
        <v>0.9001325673884224</v>
      </c>
      <c r="S68" s="56">
        <f>P68/P57*100</f>
        <v>1.1095723080819841</v>
      </c>
      <c r="T68" s="46">
        <f>Q68/Q57*100</f>
        <v>1.5572288483009311</v>
      </c>
      <c r="U68" s="35">
        <v>13248</v>
      </c>
      <c r="V68" s="35">
        <v>14447</v>
      </c>
      <c r="W68" s="33">
        <f t="shared" si="0"/>
        <v>0.9170069910708105</v>
      </c>
      <c r="X68" s="56">
        <f>U68/U57*100</f>
        <v>1.1625019414519517</v>
      </c>
      <c r="Y68" s="46">
        <f>V68/V57*100</f>
        <v>1.562966553143243</v>
      </c>
      <c r="Z68" s="35">
        <v>20685</v>
      </c>
      <c r="AA68" s="35">
        <v>19803</v>
      </c>
      <c r="AB68" s="33">
        <f t="shared" si="1"/>
        <v>1.0445387062566278</v>
      </c>
      <c r="AC68" s="56">
        <f>Z68/Z57*100</f>
        <v>1.3408353563082787</v>
      </c>
      <c r="AD68" s="46">
        <f>AA68/AA57*100</f>
        <v>1.5867140044757786</v>
      </c>
      <c r="AE68" s="35">
        <v>23990</v>
      </c>
      <c r="AF68" s="35">
        <v>24697</v>
      </c>
      <c r="AG68" s="33">
        <f t="shared" si="2"/>
        <v>0.9713730412600721</v>
      </c>
      <c r="AH68" s="56">
        <f>AE68/AE57*100</f>
        <v>1.247315204715153</v>
      </c>
      <c r="AI68" s="46">
        <f>AF68/AF57*100</f>
        <v>1.5400079691063064</v>
      </c>
      <c r="AJ68" s="35">
        <v>28105</v>
      </c>
      <c r="AK68" s="35">
        <v>29718</v>
      </c>
      <c r="AL68" s="33">
        <f t="shared" si="10"/>
        <v>0.9457231307625008</v>
      </c>
      <c r="AM68" s="56">
        <f>AJ68/AJ57*100</f>
        <v>1.221256157881632</v>
      </c>
      <c r="AN68" s="46">
        <f>AK68/AK57*100</f>
        <v>1.481271028037383</v>
      </c>
      <c r="AO68" s="35"/>
      <c r="AP68" s="35"/>
      <c r="AQ68" s="33" t="e">
        <f t="shared" si="11"/>
        <v>#DIV/0!</v>
      </c>
      <c r="AR68" s="56" t="e">
        <f>AO68/AO57*100</f>
        <v>#DIV/0!</v>
      </c>
      <c r="AS68" s="46" t="e">
        <f>AP68/AP57*100</f>
        <v>#DIV/0!</v>
      </c>
      <c r="AT68" s="35"/>
      <c r="AU68" s="35"/>
      <c r="AV68" s="33" t="e">
        <f t="shared" si="3"/>
        <v>#DIV/0!</v>
      </c>
      <c r="AW68" s="56" t="e">
        <f>AT68/AT57*100</f>
        <v>#DIV/0!</v>
      </c>
      <c r="AX68" s="46" t="e">
        <f>AU68/AU57*100</f>
        <v>#DIV/0!</v>
      </c>
      <c r="AY68" s="35"/>
      <c r="AZ68" s="35"/>
      <c r="BA68" s="33" t="e">
        <f t="shared" si="4"/>
        <v>#DIV/0!</v>
      </c>
      <c r="BB68" s="56" t="e">
        <f>AY68/AY57*100</f>
        <v>#DIV/0!</v>
      </c>
      <c r="BC68" s="46" t="e">
        <f>AZ68/AZ57*100</f>
        <v>#DIV/0!</v>
      </c>
      <c r="BD68" s="35"/>
      <c r="BE68" s="35"/>
      <c r="BF68" s="33" t="e">
        <f t="shared" si="5"/>
        <v>#DIV/0!</v>
      </c>
      <c r="BG68" s="56" t="e">
        <f>BD68/BD57*100</f>
        <v>#DIV/0!</v>
      </c>
      <c r="BH68" s="46" t="e">
        <f>BE68/BE57*100</f>
        <v>#DIV/0!</v>
      </c>
      <c r="BI68" s="35"/>
      <c r="BJ68" s="35"/>
      <c r="BK68" s="33" t="e">
        <f t="shared" si="6"/>
        <v>#DIV/0!</v>
      </c>
      <c r="BL68" s="56" t="e">
        <f>BI68/BI57*100</f>
        <v>#DIV/0!</v>
      </c>
      <c r="BM68" s="46" t="e">
        <f>BJ68/BJ57*100</f>
        <v>#DIV/0!</v>
      </c>
      <c r="BN68" s="35"/>
      <c r="BO68" s="35"/>
      <c r="BP68" s="33" t="e">
        <f t="shared" si="7"/>
        <v>#DIV/0!</v>
      </c>
      <c r="BQ68" s="56" t="e">
        <f>BN68/BN57*100</f>
        <v>#DIV/0!</v>
      </c>
      <c r="BR68" s="46" t="e">
        <f>BO68/BO57*100</f>
        <v>#DIV/0!</v>
      </c>
    </row>
    <row r="69" spans="1:70" s="8" customFormat="1" ht="31.5" customHeight="1">
      <c r="A69" s="20"/>
      <c r="B69" s="30" t="s">
        <v>73</v>
      </c>
      <c r="C69" s="31"/>
      <c r="D69" s="31"/>
      <c r="E69" s="32"/>
      <c r="F69" s="32"/>
      <c r="G69" s="33"/>
      <c r="H69" s="33"/>
      <c r="I69" s="33"/>
      <c r="J69" s="35">
        <v>2275</v>
      </c>
      <c r="K69" s="35"/>
      <c r="L69" s="35">
        <v>1444</v>
      </c>
      <c r="M69" s="33">
        <f t="shared" si="8"/>
        <v>1.5754847645429362</v>
      </c>
      <c r="N69" s="56">
        <f>J69/J57*100</f>
        <v>0.7000043077188167</v>
      </c>
      <c r="O69" s="46">
        <f>L69/L57*100</f>
        <v>0.5259400632293594</v>
      </c>
      <c r="P69" s="35">
        <v>4893</v>
      </c>
      <c r="Q69" s="35">
        <v>3411</v>
      </c>
      <c r="R69" s="33">
        <f t="shared" si="9"/>
        <v>1.4344766930518908</v>
      </c>
      <c r="S69" s="56">
        <f>P69/P57*100</f>
        <v>0.6663153293378925</v>
      </c>
      <c r="T69" s="46">
        <f>Q69/Q57*100</f>
        <v>0.5867993373347853</v>
      </c>
      <c r="U69" s="35">
        <v>8006</v>
      </c>
      <c r="V69" s="35">
        <v>5775</v>
      </c>
      <c r="W69" s="33">
        <f t="shared" si="0"/>
        <v>1.3863203463203464</v>
      </c>
      <c r="X69" s="56">
        <f>U69/U57*100</f>
        <v>0.7025204214420534</v>
      </c>
      <c r="Y69" s="46">
        <f>V69/V57*100</f>
        <v>0.6247755135600629</v>
      </c>
      <c r="Z69" s="35">
        <v>11834</v>
      </c>
      <c r="AA69" s="35">
        <v>8956</v>
      </c>
      <c r="AB69" s="33">
        <f t="shared" si="1"/>
        <v>1.3213488164359088</v>
      </c>
      <c r="AC69" s="56">
        <f>Z69/Z57*100</f>
        <v>0.7670991349553865</v>
      </c>
      <c r="AD69" s="46">
        <f>AA69/AA57*100</f>
        <v>0.7175988801739672</v>
      </c>
      <c r="AE69" s="35">
        <v>15369</v>
      </c>
      <c r="AF69" s="35">
        <v>11917</v>
      </c>
      <c r="AG69" s="33">
        <f t="shared" si="2"/>
        <v>1.2896702190148528</v>
      </c>
      <c r="AH69" s="56">
        <f>AE69/AE57*100</f>
        <v>0.7990824252299786</v>
      </c>
      <c r="AI69" s="46">
        <f>AF69/AF57*100</f>
        <v>0.7430973384556769</v>
      </c>
      <c r="AJ69" s="35">
        <v>18798</v>
      </c>
      <c r="AK69" s="35">
        <v>14617</v>
      </c>
      <c r="AL69" s="33">
        <f t="shared" si="10"/>
        <v>1.2860368064582335</v>
      </c>
      <c r="AM69" s="56">
        <f>AJ69/AJ57*100</f>
        <v>0.8168359101888961</v>
      </c>
      <c r="AN69" s="46">
        <f>AK69/AK57*100</f>
        <v>0.7285732087227414</v>
      </c>
      <c r="AO69" s="35"/>
      <c r="AP69" s="35"/>
      <c r="AQ69" s="33" t="e">
        <f t="shared" si="11"/>
        <v>#DIV/0!</v>
      </c>
      <c r="AR69" s="56" t="e">
        <f>AO69/AO57*100</f>
        <v>#DIV/0!</v>
      </c>
      <c r="AS69" s="46" t="e">
        <f>AP69/AP57*100</f>
        <v>#DIV/0!</v>
      </c>
      <c r="AT69" s="35"/>
      <c r="AU69" s="35"/>
      <c r="AV69" s="33" t="e">
        <f t="shared" si="3"/>
        <v>#DIV/0!</v>
      </c>
      <c r="AW69" s="56" t="e">
        <f>AT69/AT57*100</f>
        <v>#DIV/0!</v>
      </c>
      <c r="AX69" s="46" t="e">
        <f>AU69/AU57*100</f>
        <v>#DIV/0!</v>
      </c>
      <c r="AY69" s="35"/>
      <c r="AZ69" s="35"/>
      <c r="BA69" s="33" t="e">
        <f t="shared" si="4"/>
        <v>#DIV/0!</v>
      </c>
      <c r="BB69" s="56" t="e">
        <f>AY69/AY57*100</f>
        <v>#DIV/0!</v>
      </c>
      <c r="BC69" s="46" t="e">
        <f>AZ69/AZ57*100</f>
        <v>#DIV/0!</v>
      </c>
      <c r="BD69" s="35"/>
      <c r="BE69" s="35"/>
      <c r="BF69" s="33" t="e">
        <f t="shared" si="5"/>
        <v>#DIV/0!</v>
      </c>
      <c r="BG69" s="56" t="e">
        <f>BD69/BD57*100</f>
        <v>#DIV/0!</v>
      </c>
      <c r="BH69" s="46" t="e">
        <f>BE69/BE57*100</f>
        <v>#DIV/0!</v>
      </c>
      <c r="BI69" s="35"/>
      <c r="BJ69" s="35"/>
      <c r="BK69" s="33" t="e">
        <f t="shared" si="6"/>
        <v>#DIV/0!</v>
      </c>
      <c r="BL69" s="56" t="e">
        <f>BI69/BI57*100</f>
        <v>#DIV/0!</v>
      </c>
      <c r="BM69" s="46" t="e">
        <f>BJ69/BJ57*100</f>
        <v>#DIV/0!</v>
      </c>
      <c r="BN69" s="35"/>
      <c r="BO69" s="35"/>
      <c r="BP69" s="33" t="e">
        <f t="shared" si="7"/>
        <v>#DIV/0!</v>
      </c>
      <c r="BQ69" s="56" t="e">
        <f>BN69/BN57*100</f>
        <v>#DIV/0!</v>
      </c>
      <c r="BR69" s="46" t="e">
        <f>BO69/BO57*100</f>
        <v>#DIV/0!</v>
      </c>
    </row>
    <row r="70" spans="1:70" s="8" customFormat="1" ht="31.5" customHeight="1">
      <c r="A70" s="20"/>
      <c r="B70" s="30" t="s">
        <v>74</v>
      </c>
      <c r="C70" s="31"/>
      <c r="D70" s="31"/>
      <c r="E70" s="32"/>
      <c r="F70" s="32"/>
      <c r="G70" s="33"/>
      <c r="H70" s="33"/>
      <c r="I70" s="33"/>
      <c r="J70" s="35">
        <v>535</v>
      </c>
      <c r="K70" s="35"/>
      <c r="L70" s="35">
        <v>406</v>
      </c>
      <c r="M70" s="33">
        <f t="shared" si="8"/>
        <v>1.3177339901477831</v>
      </c>
      <c r="N70" s="56">
        <f>J70/J57*100</f>
        <v>0.16461639763937008</v>
      </c>
      <c r="O70" s="46">
        <f>L70/L57*100</f>
        <v>0.14787511473069245</v>
      </c>
      <c r="P70" s="35">
        <v>1034</v>
      </c>
      <c r="Q70" s="35">
        <v>934</v>
      </c>
      <c r="R70" s="33">
        <f t="shared" si="9"/>
        <v>1.1070663811563168</v>
      </c>
      <c r="S70" s="56">
        <f>P70/P57*100</f>
        <v>0.14080728602807702</v>
      </c>
      <c r="T70" s="46">
        <f>Q70/Q57*100</f>
        <v>0.16067739110838156</v>
      </c>
      <c r="U70" s="35">
        <v>1774</v>
      </c>
      <c r="V70" s="35">
        <v>1374</v>
      </c>
      <c r="W70" s="33">
        <f t="shared" si="0"/>
        <v>1.2911208151382825</v>
      </c>
      <c r="X70" s="56">
        <f>U70/U57*100</f>
        <v>0.1556671530899579</v>
      </c>
      <c r="Y70" s="46">
        <f>V70/V57*100</f>
        <v>0.1486478884210435</v>
      </c>
      <c r="Z70" s="35">
        <v>2208</v>
      </c>
      <c r="AA70" s="35">
        <v>1699</v>
      </c>
      <c r="AB70" s="33">
        <f t="shared" si="1"/>
        <v>1.2995879929370218</v>
      </c>
      <c r="AC70" s="56">
        <f>Z70/Z57*100</f>
        <v>0.14312615260955666</v>
      </c>
      <c r="AD70" s="46">
        <f>AA70/AA57*100</f>
        <v>0.13613225741576265</v>
      </c>
      <c r="AE70" s="35">
        <v>2901</v>
      </c>
      <c r="AF70" s="35">
        <v>2376</v>
      </c>
      <c r="AG70" s="33">
        <f t="shared" si="2"/>
        <v>1.220959595959596</v>
      </c>
      <c r="AH70" s="56">
        <f>AE70/AE57*100</f>
        <v>0.15083207206663857</v>
      </c>
      <c r="AI70" s="46">
        <f>AF70/AF57*100</f>
        <v>0.1481580327406804</v>
      </c>
      <c r="AJ70" s="35">
        <v>3413</v>
      </c>
      <c r="AK70" s="35">
        <v>2958</v>
      </c>
      <c r="AL70" s="33">
        <f t="shared" si="10"/>
        <v>1.1538201487491548</v>
      </c>
      <c r="AM70" s="56">
        <f>AJ70/AJ57*100</f>
        <v>0.14830625393524324</v>
      </c>
      <c r="AN70" s="46">
        <f>AK70/AK57*100</f>
        <v>0.1474392523364486</v>
      </c>
      <c r="AO70" s="35"/>
      <c r="AP70" s="35"/>
      <c r="AQ70" s="33" t="e">
        <f t="shared" si="11"/>
        <v>#DIV/0!</v>
      </c>
      <c r="AR70" s="56" t="e">
        <f>AO70/AO57*100</f>
        <v>#DIV/0!</v>
      </c>
      <c r="AS70" s="46" t="e">
        <f>AP70/AP57*100</f>
        <v>#DIV/0!</v>
      </c>
      <c r="AT70" s="35"/>
      <c r="AU70" s="35"/>
      <c r="AV70" s="33" t="e">
        <f t="shared" si="3"/>
        <v>#DIV/0!</v>
      </c>
      <c r="AW70" s="56" t="e">
        <f>AT70/AT57*100</f>
        <v>#DIV/0!</v>
      </c>
      <c r="AX70" s="46" t="e">
        <f>AU70/AU57*100</f>
        <v>#DIV/0!</v>
      </c>
      <c r="AY70" s="35"/>
      <c r="AZ70" s="35"/>
      <c r="BA70" s="33" t="e">
        <f t="shared" si="4"/>
        <v>#DIV/0!</v>
      </c>
      <c r="BB70" s="56" t="e">
        <f>AY70/AY57*100</f>
        <v>#DIV/0!</v>
      </c>
      <c r="BC70" s="46" t="e">
        <f>AZ70/AZ57*100</f>
        <v>#DIV/0!</v>
      </c>
      <c r="BD70" s="35"/>
      <c r="BE70" s="35"/>
      <c r="BF70" s="33" t="e">
        <f t="shared" si="5"/>
        <v>#DIV/0!</v>
      </c>
      <c r="BG70" s="56" t="e">
        <f>BD70/BD57*100</f>
        <v>#DIV/0!</v>
      </c>
      <c r="BH70" s="46" t="e">
        <f>BE70/BE57*100</f>
        <v>#DIV/0!</v>
      </c>
      <c r="BI70" s="35"/>
      <c r="BJ70" s="35"/>
      <c r="BK70" s="33" t="e">
        <f t="shared" si="6"/>
        <v>#DIV/0!</v>
      </c>
      <c r="BL70" s="56" t="e">
        <f>BI70/BI57*100</f>
        <v>#DIV/0!</v>
      </c>
      <c r="BM70" s="46" t="e">
        <f>BJ70/BJ57*100</f>
        <v>#DIV/0!</v>
      </c>
      <c r="BN70" s="35"/>
      <c r="BO70" s="35"/>
      <c r="BP70" s="33" t="e">
        <f t="shared" si="7"/>
        <v>#DIV/0!</v>
      </c>
      <c r="BQ70" s="56" t="e">
        <f>BN70/BN57*100</f>
        <v>#DIV/0!</v>
      </c>
      <c r="BR70" s="46" t="e">
        <f>BO70/BO57*100</f>
        <v>#DIV/0!</v>
      </c>
    </row>
    <row r="71" spans="1:70" s="8" customFormat="1" ht="20.25" customHeight="1">
      <c r="A71" s="20"/>
      <c r="B71" s="30" t="s">
        <v>75</v>
      </c>
      <c r="C71" s="31"/>
      <c r="D71" s="31"/>
      <c r="E71" s="32"/>
      <c r="F71" s="32"/>
      <c r="G71" s="33" t="e">
        <f>E71/F71</f>
        <v>#DIV/0!</v>
      </c>
      <c r="H71" s="33"/>
      <c r="I71" s="33"/>
      <c r="J71" s="35">
        <f>1339+14317+568</f>
        <v>16224</v>
      </c>
      <c r="K71" s="35"/>
      <c r="L71" s="35">
        <f>1058+11462+489</f>
        <v>13009</v>
      </c>
      <c r="M71" s="33">
        <f t="shared" si="8"/>
        <v>1.2471365977400262</v>
      </c>
      <c r="N71" s="56">
        <f>J71/J57*100</f>
        <v>4.992030720189048</v>
      </c>
      <c r="O71" s="46">
        <f>L71/L57*100</f>
        <v>4.738195486530981</v>
      </c>
      <c r="P71" s="35">
        <f>2489+31936+1000</f>
        <v>35425</v>
      </c>
      <c r="Q71" s="35">
        <f>2394+24443+1114</f>
        <v>27951</v>
      </c>
      <c r="R71" s="33">
        <f t="shared" si="9"/>
        <v>1.2673965153303997</v>
      </c>
      <c r="S71" s="56">
        <f>P71/P57*100</f>
        <v>4.824079407683393</v>
      </c>
      <c r="T71" s="46">
        <f>Q71/Q57*100</f>
        <v>4.808451561959714</v>
      </c>
      <c r="U71" s="35">
        <f>1544+3949+48060</f>
        <v>53553</v>
      </c>
      <c r="V71" s="35">
        <f>1744+3548+37291</f>
        <v>42583</v>
      </c>
      <c r="W71" s="33">
        <f t="shared" si="0"/>
        <v>1.2576145410140196</v>
      </c>
      <c r="X71" s="56">
        <f>U71/U57*100</f>
        <v>4.6992350898683855</v>
      </c>
      <c r="Y71" s="46">
        <f>V71/V57*100</f>
        <v>4.606894492455091</v>
      </c>
      <c r="Z71" s="35">
        <f>2061+5346+63835</f>
        <v>71242</v>
      </c>
      <c r="AA71" s="35">
        <f>2341+4687+50125</f>
        <v>57153</v>
      </c>
      <c r="AB71" s="33">
        <f t="shared" si="1"/>
        <v>1.2465137438104736</v>
      </c>
      <c r="AC71" s="56">
        <f>Z71/Z57*100</f>
        <v>4.618022356979182</v>
      </c>
      <c r="AD71" s="46">
        <f>AA71/AA57*100</f>
        <v>4.579380169560379</v>
      </c>
      <c r="AE71" s="35">
        <f>78547+2572+6507</f>
        <v>87626</v>
      </c>
      <c r="AF71" s="35">
        <f>65004+2995+5724</f>
        <v>73723</v>
      </c>
      <c r="AG71" s="33">
        <f t="shared" si="2"/>
        <v>1.18858429526742</v>
      </c>
      <c r="AH71" s="56">
        <f>AE71/AE57*100</f>
        <v>4.555950067877032</v>
      </c>
      <c r="AI71" s="46">
        <f>AF71/AF57*100</f>
        <v>4.5970768719449415</v>
      </c>
      <c r="AJ71" s="35">
        <f>94075+3050+7714</f>
        <v>104839</v>
      </c>
      <c r="AK71" s="35">
        <f>79954+3528+6687</f>
        <v>90169</v>
      </c>
      <c r="AL71" s="33">
        <f t="shared" si="10"/>
        <v>1.162694495891049</v>
      </c>
      <c r="AM71" s="56">
        <f>AJ71/AJ57*100</f>
        <v>4.555604850957212</v>
      </c>
      <c r="AN71" s="46">
        <f>AK71/AK57*100</f>
        <v>4.494404984423675</v>
      </c>
      <c r="AO71" s="35"/>
      <c r="AP71" s="35"/>
      <c r="AQ71" s="33" t="e">
        <f t="shared" si="11"/>
        <v>#DIV/0!</v>
      </c>
      <c r="AR71" s="56" t="e">
        <f>AO71/AO57*100</f>
        <v>#DIV/0!</v>
      </c>
      <c r="AS71" s="46" t="e">
        <f>AP71/AP57*100</f>
        <v>#DIV/0!</v>
      </c>
      <c r="AT71" s="35"/>
      <c r="AU71" s="35"/>
      <c r="AV71" s="33" t="e">
        <f t="shared" si="3"/>
        <v>#DIV/0!</v>
      </c>
      <c r="AW71" s="56" t="e">
        <f>AT71/AT57*100</f>
        <v>#DIV/0!</v>
      </c>
      <c r="AX71" s="46" t="e">
        <f>AU71/AU57*100</f>
        <v>#DIV/0!</v>
      </c>
      <c r="AY71" s="35"/>
      <c r="AZ71" s="35"/>
      <c r="BA71" s="33" t="e">
        <f t="shared" si="4"/>
        <v>#DIV/0!</v>
      </c>
      <c r="BB71" s="56" t="e">
        <f>AY71/AY57*100</f>
        <v>#DIV/0!</v>
      </c>
      <c r="BC71" s="46" t="e">
        <f>AZ71/AZ57*100</f>
        <v>#DIV/0!</v>
      </c>
      <c r="BD71" s="35"/>
      <c r="BE71" s="35"/>
      <c r="BF71" s="33" t="e">
        <f t="shared" si="5"/>
        <v>#DIV/0!</v>
      </c>
      <c r="BG71" s="56" t="e">
        <f>BD71/BD57*100</f>
        <v>#DIV/0!</v>
      </c>
      <c r="BH71" s="46" t="e">
        <f>BE71/BE57*100</f>
        <v>#DIV/0!</v>
      </c>
      <c r="BI71" s="35"/>
      <c r="BJ71" s="35"/>
      <c r="BK71" s="33" t="e">
        <f t="shared" si="6"/>
        <v>#DIV/0!</v>
      </c>
      <c r="BL71" s="56" t="e">
        <f>BI71/BI57*100</f>
        <v>#DIV/0!</v>
      </c>
      <c r="BM71" s="46" t="e">
        <f>BJ71/BJ57*100</f>
        <v>#DIV/0!</v>
      </c>
      <c r="BN71" s="35"/>
      <c r="BO71" s="35"/>
      <c r="BP71" s="33" t="e">
        <f t="shared" si="7"/>
        <v>#DIV/0!</v>
      </c>
      <c r="BQ71" s="56" t="e">
        <f>BN71/BN57*100</f>
        <v>#DIV/0!</v>
      </c>
      <c r="BR71" s="46" t="e">
        <f>BO71/BO57*100</f>
        <v>#DIV/0!</v>
      </c>
    </row>
    <row r="72" spans="1:70" s="8" customFormat="1" ht="20.25" customHeight="1">
      <c r="A72" s="20"/>
      <c r="B72" s="30" t="s">
        <v>76</v>
      </c>
      <c r="C72" s="31"/>
      <c r="D72" s="31"/>
      <c r="E72" s="32"/>
      <c r="F72" s="32"/>
      <c r="G72" s="33" t="e">
        <f>E72/F72</f>
        <v>#DIV/0!</v>
      </c>
      <c r="H72" s="33"/>
      <c r="I72" s="33"/>
      <c r="J72" s="35">
        <v>1919</v>
      </c>
      <c r="K72" s="35"/>
      <c r="L72" s="35">
        <v>525</v>
      </c>
      <c r="M72" s="33">
        <f t="shared" si="8"/>
        <v>3.6552380952380954</v>
      </c>
      <c r="N72" s="56">
        <f>J72/J57*100</f>
        <v>0.5904651720933667</v>
      </c>
      <c r="O72" s="46">
        <f>L72/L57*100</f>
        <v>0.19121782077244714</v>
      </c>
      <c r="P72" s="35">
        <v>2654</v>
      </c>
      <c r="Q72" s="35">
        <v>1597</v>
      </c>
      <c r="R72" s="33">
        <f t="shared" si="9"/>
        <v>1.6618659987476518</v>
      </c>
      <c r="S72" s="56">
        <f>P72/P57*100</f>
        <v>0.361414445956012</v>
      </c>
      <c r="T72" s="46">
        <f>Q72/Q57*100</f>
        <v>0.27473425438981297</v>
      </c>
      <c r="U72" s="35">
        <v>3697</v>
      </c>
      <c r="V72" s="35">
        <v>3215</v>
      </c>
      <c r="W72" s="33">
        <f t="shared" si="0"/>
        <v>1.1499222395023327</v>
      </c>
      <c r="X72" s="56">
        <f>U72/U57*100</f>
        <v>0.32440894305162027</v>
      </c>
      <c r="Y72" s="46">
        <f>V72/V57*100</f>
        <v>0.3478187491074636</v>
      </c>
      <c r="Z72" s="35">
        <v>4946</v>
      </c>
      <c r="AA72" s="35">
        <v>4535</v>
      </c>
      <c r="AB72" s="33">
        <f t="shared" si="1"/>
        <v>1.0906284454244763</v>
      </c>
      <c r="AC72" s="56">
        <f>Z72/Z57*100</f>
        <v>0.3206077675755739</v>
      </c>
      <c r="AD72" s="46">
        <f>AA72/AA57*100</f>
        <v>0.3633665611421328</v>
      </c>
      <c r="AE72" s="35">
        <v>5838</v>
      </c>
      <c r="AF72" s="35">
        <v>5900</v>
      </c>
      <c r="AG72" s="33">
        <f t="shared" si="2"/>
        <v>0.9894915254237289</v>
      </c>
      <c r="AH72" s="56">
        <f>AE72/AE57*100</f>
        <v>0.30353589683730986</v>
      </c>
      <c r="AI72" s="46">
        <f>AF72/AF57*100</f>
        <v>0.36790083887626873</v>
      </c>
      <c r="AJ72" s="35">
        <v>6336</v>
      </c>
      <c r="AK72" s="35">
        <v>7935</v>
      </c>
      <c r="AL72" s="33">
        <f t="shared" si="10"/>
        <v>0.7984877126654064</v>
      </c>
      <c r="AM72" s="56">
        <f>AJ72/AJ57*100</f>
        <v>0.2753203706222388</v>
      </c>
      <c r="AN72" s="46">
        <f>AK72/AK57*100</f>
        <v>0.39551401869158875</v>
      </c>
      <c r="AO72" s="35"/>
      <c r="AP72" s="35"/>
      <c r="AQ72" s="33" t="e">
        <f t="shared" si="11"/>
        <v>#DIV/0!</v>
      </c>
      <c r="AR72" s="56" t="e">
        <f>AO72/AO57*100</f>
        <v>#DIV/0!</v>
      </c>
      <c r="AS72" s="46" t="e">
        <f>AP72/AP57*100</f>
        <v>#DIV/0!</v>
      </c>
      <c r="AT72" s="35"/>
      <c r="AU72" s="35"/>
      <c r="AV72" s="33" t="e">
        <f t="shared" si="3"/>
        <v>#DIV/0!</v>
      </c>
      <c r="AW72" s="56" t="e">
        <f>AT72/AT57*100</f>
        <v>#DIV/0!</v>
      </c>
      <c r="AX72" s="46" t="e">
        <f>AU72/AU57*100</f>
        <v>#DIV/0!</v>
      </c>
      <c r="AY72" s="35"/>
      <c r="AZ72" s="35"/>
      <c r="BA72" s="33" t="e">
        <f t="shared" si="4"/>
        <v>#DIV/0!</v>
      </c>
      <c r="BB72" s="56" t="e">
        <f>AY72/AY57*100</f>
        <v>#DIV/0!</v>
      </c>
      <c r="BC72" s="46" t="e">
        <f>AZ72/AZ57*100</f>
        <v>#DIV/0!</v>
      </c>
      <c r="BD72" s="35"/>
      <c r="BE72" s="35"/>
      <c r="BF72" s="33" t="e">
        <f t="shared" si="5"/>
        <v>#DIV/0!</v>
      </c>
      <c r="BG72" s="56" t="e">
        <f>BD72/BD57*100</f>
        <v>#DIV/0!</v>
      </c>
      <c r="BH72" s="46" t="e">
        <f>BE72/BE57*100</f>
        <v>#DIV/0!</v>
      </c>
      <c r="BI72" s="35"/>
      <c r="BJ72" s="35"/>
      <c r="BK72" s="33" t="e">
        <f t="shared" si="6"/>
        <v>#DIV/0!</v>
      </c>
      <c r="BL72" s="56" t="e">
        <f>BI72/BI57*100</f>
        <v>#DIV/0!</v>
      </c>
      <c r="BM72" s="46" t="e">
        <f>BJ72/BJ57*100</f>
        <v>#DIV/0!</v>
      </c>
      <c r="BN72" s="35"/>
      <c r="BO72" s="35"/>
      <c r="BP72" s="33" t="e">
        <f t="shared" si="7"/>
        <v>#DIV/0!</v>
      </c>
      <c r="BQ72" s="56" t="e">
        <f>BN72/BN57*100</f>
        <v>#DIV/0!</v>
      </c>
      <c r="BR72" s="46" t="e">
        <f>BO72/BO57*100</f>
        <v>#DIV/0!</v>
      </c>
    </row>
    <row r="73" spans="1:70" s="8" customFormat="1" ht="20.25" customHeight="1">
      <c r="A73" s="20"/>
      <c r="B73" s="30" t="s">
        <v>77</v>
      </c>
      <c r="C73" s="31"/>
      <c r="D73" s="31"/>
      <c r="E73" s="32"/>
      <c r="F73" s="32"/>
      <c r="G73" s="33" t="e">
        <f>E73/F73</f>
        <v>#DIV/0!</v>
      </c>
      <c r="H73" s="33"/>
      <c r="I73" s="33"/>
      <c r="J73" s="35">
        <v>328</v>
      </c>
      <c r="K73" s="35"/>
      <c r="L73" s="35">
        <v>275</v>
      </c>
      <c r="M73" s="33">
        <f t="shared" si="8"/>
        <v>1.1927272727272726</v>
      </c>
      <c r="N73" s="56">
        <f>J73/J57*100</f>
        <v>0.10092369799198765</v>
      </c>
      <c r="O73" s="46">
        <f>L73/L57*100</f>
        <v>0.10016171564271041</v>
      </c>
      <c r="P73" s="35">
        <v>503</v>
      </c>
      <c r="Q73" s="35">
        <v>469</v>
      </c>
      <c r="R73" s="33">
        <f t="shared" si="9"/>
        <v>1.072494669509595</v>
      </c>
      <c r="S73" s="56">
        <f>P73/P57*100</f>
        <v>0.06849716138503166</v>
      </c>
      <c r="T73" s="46">
        <f>Q73/Q57*100</f>
        <v>0.08068275849018303</v>
      </c>
      <c r="U73" s="35">
        <v>756</v>
      </c>
      <c r="V73" s="35">
        <v>714</v>
      </c>
      <c r="W73" s="33">
        <f t="shared" si="0"/>
        <v>1.0588235294117647</v>
      </c>
      <c r="X73" s="56">
        <f>U73/U57*100</f>
        <v>0.06633842600676898</v>
      </c>
      <c r="Y73" s="46">
        <f>V73/V57*100</f>
        <v>0.07724497258560777</v>
      </c>
      <c r="Z73" s="35">
        <v>971</v>
      </c>
      <c r="AA73" s="35">
        <v>973</v>
      </c>
      <c r="AB73" s="33">
        <f t="shared" si="1"/>
        <v>0.9979445015416238</v>
      </c>
      <c r="AC73" s="56">
        <f>Z73/Z57*100</f>
        <v>0.06294179990211934</v>
      </c>
      <c r="AD73" s="46">
        <f>AA73/AA57*100</f>
        <v>0.07796155766070458</v>
      </c>
      <c r="AE73" s="35">
        <v>1135</v>
      </c>
      <c r="AF73" s="35">
        <v>1257</v>
      </c>
      <c r="AG73" s="33">
        <f t="shared" si="2"/>
        <v>0.9029435163086714</v>
      </c>
      <c r="AH73" s="56">
        <f>AE73/AE57*100</f>
        <v>0.059012203307698984</v>
      </c>
      <c r="AI73" s="46">
        <f>AF73/AF57*100</f>
        <v>0.07838158550296098</v>
      </c>
      <c r="AJ73" s="35">
        <v>1381</v>
      </c>
      <c r="AK73" s="35">
        <v>1550</v>
      </c>
      <c r="AL73" s="33">
        <f t="shared" si="10"/>
        <v>0.8909677419354839</v>
      </c>
      <c r="AM73" s="56">
        <f>AJ73/AJ57*100</f>
        <v>0.060009064366999966</v>
      </c>
      <c r="AN73" s="46">
        <f>AK73/AK57*100</f>
        <v>0.07725856697819314</v>
      </c>
      <c r="AO73" s="35"/>
      <c r="AP73" s="35"/>
      <c r="AQ73" s="33" t="e">
        <f t="shared" si="11"/>
        <v>#DIV/0!</v>
      </c>
      <c r="AR73" s="56" t="e">
        <f>AO73/AO57*100</f>
        <v>#DIV/0!</v>
      </c>
      <c r="AS73" s="46" t="e">
        <f>AP73/AP57*100</f>
        <v>#DIV/0!</v>
      </c>
      <c r="AT73" s="35"/>
      <c r="AU73" s="35"/>
      <c r="AV73" s="33" t="e">
        <f t="shared" si="3"/>
        <v>#DIV/0!</v>
      </c>
      <c r="AW73" s="56" t="e">
        <f>AT73/AT57*100</f>
        <v>#DIV/0!</v>
      </c>
      <c r="AX73" s="46" t="e">
        <f>AU73/AU57*100</f>
        <v>#DIV/0!</v>
      </c>
      <c r="AY73" s="35"/>
      <c r="AZ73" s="35"/>
      <c r="BA73" s="33" t="e">
        <f t="shared" si="4"/>
        <v>#DIV/0!</v>
      </c>
      <c r="BB73" s="56" t="e">
        <f>AY73/AY57*100</f>
        <v>#DIV/0!</v>
      </c>
      <c r="BC73" s="46" t="e">
        <f>AZ73/AZ57*100</f>
        <v>#DIV/0!</v>
      </c>
      <c r="BD73" s="35"/>
      <c r="BE73" s="35"/>
      <c r="BF73" s="33" t="e">
        <f t="shared" si="5"/>
        <v>#DIV/0!</v>
      </c>
      <c r="BG73" s="56" t="e">
        <f>BD73/BD57*100</f>
        <v>#DIV/0!</v>
      </c>
      <c r="BH73" s="46" t="e">
        <f>BE73/BE57*100</f>
        <v>#DIV/0!</v>
      </c>
      <c r="BI73" s="35"/>
      <c r="BJ73" s="35"/>
      <c r="BK73" s="33" t="e">
        <f t="shared" si="6"/>
        <v>#DIV/0!</v>
      </c>
      <c r="BL73" s="56" t="e">
        <f>BI73/BI57*100</f>
        <v>#DIV/0!</v>
      </c>
      <c r="BM73" s="46" t="e">
        <f>BJ73/BJ57*100</f>
        <v>#DIV/0!</v>
      </c>
      <c r="BN73" s="35"/>
      <c r="BO73" s="35"/>
      <c r="BP73" s="33" t="e">
        <f t="shared" si="7"/>
        <v>#DIV/0!</v>
      </c>
      <c r="BQ73" s="56" t="e">
        <f>BN73/BN57*100</f>
        <v>#DIV/0!</v>
      </c>
      <c r="BR73" s="46" t="e">
        <f>BO73/BO57*100</f>
        <v>#DIV/0!</v>
      </c>
    </row>
    <row r="74" spans="1:70" s="8" customFormat="1" ht="20.25" customHeight="1">
      <c r="A74" s="20"/>
      <c r="B74" s="30" t="s">
        <v>78</v>
      </c>
      <c r="C74" s="31"/>
      <c r="D74" s="31"/>
      <c r="E74" s="32"/>
      <c r="F74" s="32"/>
      <c r="G74" s="33" t="e">
        <f>E74/F74</f>
        <v>#DIV/0!</v>
      </c>
      <c r="H74" s="33"/>
      <c r="I74" s="33"/>
      <c r="J74" s="35">
        <v>9988</v>
      </c>
      <c r="K74" s="35"/>
      <c r="L74" s="35">
        <v>8953</v>
      </c>
      <c r="M74" s="33">
        <f t="shared" si="8"/>
        <v>1.1156037082542165</v>
      </c>
      <c r="N74" s="56">
        <f>J74/J57*100</f>
        <v>3.0732496815365016</v>
      </c>
      <c r="O74" s="46">
        <f>L74/L57*100</f>
        <v>3.260901236906132</v>
      </c>
      <c r="P74" s="35">
        <v>21116</v>
      </c>
      <c r="Q74" s="35">
        <v>19106</v>
      </c>
      <c r="R74" s="33">
        <f t="shared" si="9"/>
        <v>1.1052025541714645</v>
      </c>
      <c r="S74" s="56">
        <f>P74/P57*100</f>
        <v>2.875519005579182</v>
      </c>
      <c r="T74" s="46">
        <f>Q74/Q57*100</f>
        <v>3.2868332275339807</v>
      </c>
      <c r="U74" s="35">
        <v>32463</v>
      </c>
      <c r="V74" s="35">
        <v>29208</v>
      </c>
      <c r="W74" s="33">
        <f t="shared" si="0"/>
        <v>1.111442070665571</v>
      </c>
      <c r="X74" s="56">
        <f>U74/U57*100</f>
        <v>2.8486036024573296</v>
      </c>
      <c r="Y74" s="46">
        <f>V74/V57*100</f>
        <v>3.1599035844263748</v>
      </c>
      <c r="Z74" s="35">
        <v>43884</v>
      </c>
      <c r="AA74" s="35">
        <v>39178</v>
      </c>
      <c r="AB74" s="33">
        <f t="shared" si="1"/>
        <v>1.1201184338148962</v>
      </c>
      <c r="AC74" s="56">
        <f>Z74/Z57*100</f>
        <v>2.8446322831149384</v>
      </c>
      <c r="AD74" s="46">
        <f>AA74/AA57*100</f>
        <v>3.1391345385725424</v>
      </c>
      <c r="AE74" s="35">
        <v>54819</v>
      </c>
      <c r="AF74" s="35">
        <v>49196</v>
      </c>
      <c r="AG74" s="33">
        <f t="shared" si="2"/>
        <v>1.1142979103992194</v>
      </c>
      <c r="AH74" s="56">
        <f>AE74/AE57*100</f>
        <v>2.8502114300658596</v>
      </c>
      <c r="AI74" s="46">
        <f>AF74/AF57*100</f>
        <v>3.067669435484223</v>
      </c>
      <c r="AJ74" s="35">
        <v>65641</v>
      </c>
      <c r="AK74" s="35">
        <v>59219</v>
      </c>
      <c r="AL74" s="33">
        <f t="shared" si="10"/>
        <v>1.1084449247707662</v>
      </c>
      <c r="AM74" s="56">
        <f>AJ74/AJ57*100</f>
        <v>2.8523207777800472</v>
      </c>
      <c r="AN74" s="46">
        <f>AK74/AK57*100</f>
        <v>2.9517258566978195</v>
      </c>
      <c r="AO74" s="35"/>
      <c r="AP74" s="35"/>
      <c r="AQ74" s="33" t="e">
        <f t="shared" si="11"/>
        <v>#DIV/0!</v>
      </c>
      <c r="AR74" s="56" t="e">
        <f>AO74/AO57*100</f>
        <v>#DIV/0!</v>
      </c>
      <c r="AS74" s="46" t="e">
        <f>AP74/AP57*100</f>
        <v>#DIV/0!</v>
      </c>
      <c r="AT74" s="35"/>
      <c r="AU74" s="35"/>
      <c r="AV74" s="33" t="e">
        <f t="shared" si="3"/>
        <v>#DIV/0!</v>
      </c>
      <c r="AW74" s="56" t="e">
        <f>AT74/AT57*100</f>
        <v>#DIV/0!</v>
      </c>
      <c r="AX74" s="46" t="e">
        <f>AU74/AU57*100</f>
        <v>#DIV/0!</v>
      </c>
      <c r="AY74" s="35"/>
      <c r="AZ74" s="35"/>
      <c r="BA74" s="33" t="e">
        <f t="shared" si="4"/>
        <v>#DIV/0!</v>
      </c>
      <c r="BB74" s="56" t="e">
        <f>AY74/AY57*100</f>
        <v>#DIV/0!</v>
      </c>
      <c r="BC74" s="46" t="e">
        <f>AZ74/AZ57*100</f>
        <v>#DIV/0!</v>
      </c>
      <c r="BD74" s="35"/>
      <c r="BE74" s="35"/>
      <c r="BF74" s="33" t="e">
        <f t="shared" si="5"/>
        <v>#DIV/0!</v>
      </c>
      <c r="BG74" s="56" t="e">
        <f>BD74/BD57*100</f>
        <v>#DIV/0!</v>
      </c>
      <c r="BH74" s="46" t="e">
        <f>BE74/BE57*100</f>
        <v>#DIV/0!</v>
      </c>
      <c r="BI74" s="35"/>
      <c r="BJ74" s="35"/>
      <c r="BK74" s="33" t="e">
        <f t="shared" si="6"/>
        <v>#DIV/0!</v>
      </c>
      <c r="BL74" s="56" t="e">
        <f>BI74/BI57*100</f>
        <v>#DIV/0!</v>
      </c>
      <c r="BM74" s="46" t="e">
        <f>BJ74/BJ57*100</f>
        <v>#DIV/0!</v>
      </c>
      <c r="BN74" s="35"/>
      <c r="BO74" s="35"/>
      <c r="BP74" s="33" t="e">
        <f t="shared" si="7"/>
        <v>#DIV/0!</v>
      </c>
      <c r="BQ74" s="56" t="e">
        <f>BN74/BN57*100</f>
        <v>#DIV/0!</v>
      </c>
      <c r="BR74" s="46" t="e">
        <f>BO74/BO57*100</f>
        <v>#DIV/0!</v>
      </c>
    </row>
    <row r="75" spans="1:70" s="8" customFormat="1" ht="20.25" customHeight="1">
      <c r="A75" s="20"/>
      <c r="B75" s="30" t="s">
        <v>79</v>
      </c>
      <c r="C75" s="31"/>
      <c r="D75" s="31"/>
      <c r="E75" s="32"/>
      <c r="F75" s="32"/>
      <c r="G75" s="33"/>
      <c r="H75" s="33"/>
      <c r="I75" s="33"/>
      <c r="J75" s="35">
        <v>0</v>
      </c>
      <c r="K75" s="35"/>
      <c r="L75" s="35">
        <v>50</v>
      </c>
      <c r="M75" s="33">
        <f t="shared" si="8"/>
        <v>0</v>
      </c>
      <c r="N75" s="56">
        <f>J75/J57*100</f>
        <v>0</v>
      </c>
      <c r="O75" s="46">
        <f>L75/L57*100</f>
        <v>0.018211221025947348</v>
      </c>
      <c r="P75" s="35">
        <v>0</v>
      </c>
      <c r="Q75" s="35">
        <v>50</v>
      </c>
      <c r="R75" s="33">
        <f t="shared" si="9"/>
        <v>0</v>
      </c>
      <c r="S75" s="56">
        <f>P75/P57*100</f>
        <v>0</v>
      </c>
      <c r="T75" s="46">
        <f>Q75/Q57*100</f>
        <v>0.008601573399806293</v>
      </c>
      <c r="U75" s="35">
        <v>0</v>
      </c>
      <c r="V75" s="35">
        <v>50</v>
      </c>
      <c r="W75" s="33">
        <f t="shared" si="0"/>
        <v>0</v>
      </c>
      <c r="X75" s="56">
        <f>U75/U57*100</f>
        <v>0</v>
      </c>
      <c r="Y75" s="46">
        <f>V75/V57*100</f>
        <v>0.00540931180571483</v>
      </c>
      <c r="Z75" s="35">
        <v>39754</v>
      </c>
      <c r="AA75" s="35">
        <v>2580</v>
      </c>
      <c r="AB75" s="33">
        <f t="shared" si="1"/>
        <v>15.408527131782945</v>
      </c>
      <c r="AC75" s="56">
        <f>Z75/Z57*100</f>
        <v>2.5769189632428966</v>
      </c>
      <c r="AD75" s="46">
        <f>AA75/AA57*100</f>
        <v>0.20672232144359487</v>
      </c>
      <c r="AE75" s="35">
        <v>70652</v>
      </c>
      <c r="AF75" s="35">
        <v>50299</v>
      </c>
      <c r="AG75" s="33">
        <f t="shared" si="2"/>
        <v>1.4046402512972425</v>
      </c>
      <c r="AH75" s="56">
        <f>AE75/AE57*100</f>
        <v>3.673418667925594</v>
      </c>
      <c r="AI75" s="46">
        <f>AF75/AF57*100</f>
        <v>3.1364481855317696</v>
      </c>
      <c r="AJ75" s="35">
        <v>86831</v>
      </c>
      <c r="AK75" s="35">
        <v>114267</v>
      </c>
      <c r="AL75" s="33">
        <f t="shared" si="10"/>
        <v>0.7598956829180779</v>
      </c>
      <c r="AM75" s="56">
        <f>AJ75/AJ57*100</f>
        <v>3.7730970804134496</v>
      </c>
      <c r="AN75" s="46">
        <f>AK75/AK57*100</f>
        <v>5.695551401869158</v>
      </c>
      <c r="AO75" s="35"/>
      <c r="AP75" s="35"/>
      <c r="AQ75" s="33" t="e">
        <f t="shared" si="11"/>
        <v>#DIV/0!</v>
      </c>
      <c r="AR75" s="56" t="e">
        <f>AO75/AO57*100</f>
        <v>#DIV/0!</v>
      </c>
      <c r="AS75" s="46" t="e">
        <f>AP75/AP57*100</f>
        <v>#DIV/0!</v>
      </c>
      <c r="AT75" s="35"/>
      <c r="AU75" s="35"/>
      <c r="AV75" s="33" t="e">
        <f t="shared" si="3"/>
        <v>#DIV/0!</v>
      </c>
      <c r="AW75" s="56" t="e">
        <f>AT75/AT57*100</f>
        <v>#DIV/0!</v>
      </c>
      <c r="AX75" s="46" t="e">
        <f>AU75/AU57*100</f>
        <v>#DIV/0!</v>
      </c>
      <c r="AY75" s="35"/>
      <c r="AZ75" s="35"/>
      <c r="BA75" s="33" t="e">
        <f t="shared" si="4"/>
        <v>#DIV/0!</v>
      </c>
      <c r="BB75" s="56" t="e">
        <f>AY75/AY57*100</f>
        <v>#DIV/0!</v>
      </c>
      <c r="BC75" s="46" t="e">
        <f>AZ75/AZ57*100</f>
        <v>#DIV/0!</v>
      </c>
      <c r="BD75" s="35"/>
      <c r="BE75" s="35"/>
      <c r="BF75" s="33" t="e">
        <f t="shared" si="5"/>
        <v>#DIV/0!</v>
      </c>
      <c r="BG75" s="56" t="e">
        <f>BD75/BD57*100</f>
        <v>#DIV/0!</v>
      </c>
      <c r="BH75" s="46" t="e">
        <f>BE75/BE57*100</f>
        <v>#DIV/0!</v>
      </c>
      <c r="BI75" s="35"/>
      <c r="BJ75" s="35"/>
      <c r="BK75" s="33" t="e">
        <f t="shared" si="6"/>
        <v>#DIV/0!</v>
      </c>
      <c r="BL75" s="56" t="e">
        <f>BI75/BI57*100</f>
        <v>#DIV/0!</v>
      </c>
      <c r="BM75" s="46" t="e">
        <f>BJ75/BJ57*100</f>
        <v>#DIV/0!</v>
      </c>
      <c r="BN75" s="35"/>
      <c r="BO75" s="35"/>
      <c r="BP75" s="33" t="e">
        <f t="shared" si="7"/>
        <v>#DIV/0!</v>
      </c>
      <c r="BQ75" s="56" t="e">
        <f>BN75/BN57*100</f>
        <v>#DIV/0!</v>
      </c>
      <c r="BR75" s="46" t="e">
        <f>BO75/BO57*100</f>
        <v>#DIV/0!</v>
      </c>
    </row>
    <row r="76" spans="1:70" s="8" customFormat="1" ht="20.25" customHeight="1">
      <c r="A76" s="20"/>
      <c r="B76" s="30" t="s">
        <v>80</v>
      </c>
      <c r="C76" s="31"/>
      <c r="D76" s="31"/>
      <c r="E76" s="32"/>
      <c r="F76" s="32"/>
      <c r="G76" s="33" t="e">
        <f>E76/F76</f>
        <v>#DIV/0!</v>
      </c>
      <c r="H76" s="33"/>
      <c r="I76" s="33"/>
      <c r="J76" s="35">
        <f>30939+61751</f>
        <v>92690</v>
      </c>
      <c r="K76" s="35"/>
      <c r="L76" s="35">
        <f>23648+35848</f>
        <v>59496</v>
      </c>
      <c r="M76" s="33">
        <f t="shared" si="8"/>
        <v>1.5579198601586661</v>
      </c>
      <c r="N76" s="56">
        <f>J76/J57*100</f>
        <v>28.52017550877236</v>
      </c>
      <c r="O76" s="46">
        <f>L76/L57*100</f>
        <v>21.66989612319527</v>
      </c>
      <c r="P76" s="35">
        <v>191617</v>
      </c>
      <c r="Q76" s="35">
        <v>134846</v>
      </c>
      <c r="R76" s="33">
        <f t="shared" si="9"/>
        <v>1.4210061848330688</v>
      </c>
      <c r="S76" s="56">
        <f>P76/P57*100</f>
        <v>26.093877878957482</v>
      </c>
      <c r="T76" s="46">
        <f>Q76/Q57*100</f>
        <v>23.19775533340559</v>
      </c>
      <c r="U76" s="35">
        <f>107258+187348</f>
        <v>294606</v>
      </c>
      <c r="V76" s="35">
        <f>77111+137475</f>
        <v>214586</v>
      </c>
      <c r="W76" s="33">
        <f t="shared" si="0"/>
        <v>1.3729041037159926</v>
      </c>
      <c r="X76" s="56">
        <f>U76/U57*100</f>
        <v>25.85145282030447</v>
      </c>
      <c r="Y76" s="46">
        <f>V76/V57*100</f>
        <v>23.21525166282245</v>
      </c>
      <c r="Z76" s="35">
        <f>150307+245913</f>
        <v>396220</v>
      </c>
      <c r="AA76" s="35">
        <f>107040+193723</f>
        <v>300763</v>
      </c>
      <c r="AB76" s="33">
        <f t="shared" si="1"/>
        <v>1.3173827897713482</v>
      </c>
      <c r="AC76" s="56">
        <f>Z76/Z57*100</f>
        <v>25.68362508467325</v>
      </c>
      <c r="AD76" s="46">
        <f>AA76/AA57*100</f>
        <v>24.098614559821673</v>
      </c>
      <c r="AE76" s="35">
        <f>193082+310083</f>
        <v>503165</v>
      </c>
      <c r="AF76" s="35">
        <f>138839+250089</f>
        <v>388928</v>
      </c>
      <c r="AG76" s="33">
        <f t="shared" si="2"/>
        <v>1.293722745598157</v>
      </c>
      <c r="AH76" s="56">
        <f>AE76/AE57*100</f>
        <v>26.161123592350975</v>
      </c>
      <c r="AI76" s="46">
        <f>AF76/AF57*100</f>
        <v>24.252023298723632</v>
      </c>
      <c r="AJ76" s="35">
        <f>237483+371540</f>
        <v>609023</v>
      </c>
      <c r="AK76" s="35">
        <f>172310+305740</f>
        <v>478050</v>
      </c>
      <c r="AL76" s="33">
        <f t="shared" si="10"/>
        <v>1.2739734337412405</v>
      </c>
      <c r="AM76" s="56">
        <f>AJ76/AJ57*100</f>
        <v>26.464084292529634</v>
      </c>
      <c r="AN76" s="46">
        <f>AK76/AK57*100</f>
        <v>23.82803738317757</v>
      </c>
      <c r="AO76" s="35"/>
      <c r="AP76" s="35"/>
      <c r="AQ76" s="33" t="e">
        <f t="shared" si="11"/>
        <v>#DIV/0!</v>
      </c>
      <c r="AR76" s="56" t="e">
        <f>AO76/AO57*100</f>
        <v>#DIV/0!</v>
      </c>
      <c r="AS76" s="46" t="e">
        <f>AP76/AP57*100</f>
        <v>#DIV/0!</v>
      </c>
      <c r="AT76" s="35"/>
      <c r="AU76" s="35"/>
      <c r="AV76" s="33" t="e">
        <f t="shared" si="3"/>
        <v>#DIV/0!</v>
      </c>
      <c r="AW76" s="56" t="e">
        <f>AT76/AT57*100</f>
        <v>#DIV/0!</v>
      </c>
      <c r="AX76" s="46" t="e">
        <f>AU76/AU57*100</f>
        <v>#DIV/0!</v>
      </c>
      <c r="AY76" s="35"/>
      <c r="AZ76" s="35"/>
      <c r="BA76" s="33" t="e">
        <f t="shared" si="4"/>
        <v>#DIV/0!</v>
      </c>
      <c r="BB76" s="56" t="e">
        <f>AY76/AY57*100</f>
        <v>#DIV/0!</v>
      </c>
      <c r="BC76" s="46" t="e">
        <f>AZ76/AZ57*100</f>
        <v>#DIV/0!</v>
      </c>
      <c r="BD76" s="35"/>
      <c r="BE76" s="35"/>
      <c r="BF76" s="33" t="e">
        <f t="shared" si="5"/>
        <v>#DIV/0!</v>
      </c>
      <c r="BG76" s="56" t="e">
        <f>BD76/BD57*100</f>
        <v>#DIV/0!</v>
      </c>
      <c r="BH76" s="46" t="e">
        <f>BE76/BE57*100</f>
        <v>#DIV/0!</v>
      </c>
      <c r="BI76" s="35"/>
      <c r="BJ76" s="35"/>
      <c r="BK76" s="33" t="e">
        <f t="shared" si="6"/>
        <v>#DIV/0!</v>
      </c>
      <c r="BL76" s="56" t="e">
        <f>BI76/BI57*100</f>
        <v>#DIV/0!</v>
      </c>
      <c r="BM76" s="46" t="e">
        <f>BJ76/BJ57*100</f>
        <v>#DIV/0!</v>
      </c>
      <c r="BN76" s="35"/>
      <c r="BO76" s="35"/>
      <c r="BP76" s="33" t="e">
        <f t="shared" si="7"/>
        <v>#DIV/0!</v>
      </c>
      <c r="BQ76" s="56" t="e">
        <f>BN76/BN57*100</f>
        <v>#DIV/0!</v>
      </c>
      <c r="BR76" s="46" t="e">
        <f>BO76/BO57*100</f>
        <v>#DIV/0!</v>
      </c>
    </row>
    <row r="77" spans="1:70" s="8" customFormat="1" ht="22.5" customHeight="1">
      <c r="A77" s="20"/>
      <c r="B77" s="30" t="s">
        <v>81</v>
      </c>
      <c r="C77" s="31"/>
      <c r="D77" s="31"/>
      <c r="E77" s="32"/>
      <c r="F77" s="32"/>
      <c r="G77" s="33"/>
      <c r="H77" s="33"/>
      <c r="I77" s="33"/>
      <c r="J77" s="35">
        <v>1412</v>
      </c>
      <c r="K77" s="35"/>
      <c r="L77" s="35">
        <v>1135</v>
      </c>
      <c r="M77" s="33">
        <f t="shared" si="8"/>
        <v>1.2440528634361234</v>
      </c>
      <c r="N77" s="56">
        <f>J77/J57*100</f>
        <v>0.434464212087459</v>
      </c>
      <c r="O77" s="46">
        <f>L77/L57*100</f>
        <v>0.41339471728900473</v>
      </c>
      <c r="P77" s="35">
        <v>3380</v>
      </c>
      <c r="Q77" s="35">
        <v>2010</v>
      </c>
      <c r="R77" s="33">
        <f t="shared" si="9"/>
        <v>1.681592039800995</v>
      </c>
      <c r="S77" s="56">
        <f>P77/P57*100</f>
        <v>0.4602791361459384</v>
      </c>
      <c r="T77" s="46">
        <f>Q77/Q57*100</f>
        <v>0.34578325067221294</v>
      </c>
      <c r="U77" s="35">
        <v>5154</v>
      </c>
      <c r="V77" s="35">
        <v>3071</v>
      </c>
      <c r="W77" s="33">
        <f t="shared" si="0"/>
        <v>1.6782806903288832</v>
      </c>
      <c r="X77" s="56">
        <f>U77/U57*100</f>
        <v>0.45225958682392503</v>
      </c>
      <c r="Y77" s="46">
        <f>V77/V57*100</f>
        <v>0.33223993110700484</v>
      </c>
      <c r="Z77" s="35">
        <v>7442</v>
      </c>
      <c r="AA77" s="35">
        <v>4213</v>
      </c>
      <c r="AB77" s="33">
        <f t="shared" si="1"/>
        <v>1.7664372181343462</v>
      </c>
      <c r="AC77" s="56">
        <f>Z77/Z57*100</f>
        <v>0.4824025487863771</v>
      </c>
      <c r="AD77" s="46">
        <f>AA77/AA57*100</f>
        <v>0.33756633342707953</v>
      </c>
      <c r="AE77" s="35">
        <v>8606</v>
      </c>
      <c r="AF77" s="35">
        <v>5011</v>
      </c>
      <c r="AG77" s="33">
        <f t="shared" si="2"/>
        <v>1.717421672320894</v>
      </c>
      <c r="AH77" s="56">
        <f>AE77/AE57*100</f>
        <v>0.44745288252516074</v>
      </c>
      <c r="AI77" s="46">
        <f>AF77/AF57*100</f>
        <v>0.31246628874728516</v>
      </c>
      <c r="AJ77" s="35">
        <v>11557</v>
      </c>
      <c r="AK77" s="35">
        <v>7837</v>
      </c>
      <c r="AL77" s="33">
        <f t="shared" si="10"/>
        <v>1.4746714303942836</v>
      </c>
      <c r="AM77" s="56">
        <f>AJ77/AJ57*100</f>
        <v>0.5021902656693835</v>
      </c>
      <c r="AN77" s="46">
        <f>AK77/AK57*100</f>
        <v>0.3906292834890966</v>
      </c>
      <c r="AO77" s="35"/>
      <c r="AP77" s="35"/>
      <c r="AQ77" s="33" t="e">
        <f t="shared" si="11"/>
        <v>#DIV/0!</v>
      </c>
      <c r="AR77" s="56" t="e">
        <f>AO77/AO57*100</f>
        <v>#DIV/0!</v>
      </c>
      <c r="AS77" s="46" t="e">
        <f>AP77/AP57*100</f>
        <v>#DIV/0!</v>
      </c>
      <c r="AT77" s="35"/>
      <c r="AU77" s="35"/>
      <c r="AV77" s="33" t="e">
        <f t="shared" si="3"/>
        <v>#DIV/0!</v>
      </c>
      <c r="AW77" s="56" t="e">
        <f>AT77/AT57*100</f>
        <v>#DIV/0!</v>
      </c>
      <c r="AX77" s="46" t="e">
        <f>AU77/AU57*100</f>
        <v>#DIV/0!</v>
      </c>
      <c r="AY77" s="35"/>
      <c r="AZ77" s="35"/>
      <c r="BA77" s="33" t="e">
        <f t="shared" si="4"/>
        <v>#DIV/0!</v>
      </c>
      <c r="BB77" s="56" t="e">
        <f>AY77/AY57*100</f>
        <v>#DIV/0!</v>
      </c>
      <c r="BC77" s="46" t="e">
        <f>AZ77/AZ57*100</f>
        <v>#DIV/0!</v>
      </c>
      <c r="BD77" s="35"/>
      <c r="BE77" s="35"/>
      <c r="BF77" s="33" t="e">
        <f t="shared" si="5"/>
        <v>#DIV/0!</v>
      </c>
      <c r="BG77" s="56" t="e">
        <f>BD77/BD57*100</f>
        <v>#DIV/0!</v>
      </c>
      <c r="BH77" s="46" t="e">
        <f>BE77/BE57*100</f>
        <v>#DIV/0!</v>
      </c>
      <c r="BI77" s="35"/>
      <c r="BJ77" s="35"/>
      <c r="BK77" s="33" t="e">
        <f t="shared" si="6"/>
        <v>#DIV/0!</v>
      </c>
      <c r="BL77" s="56" t="e">
        <f>BI77/BI57*100</f>
        <v>#DIV/0!</v>
      </c>
      <c r="BM77" s="46" t="e">
        <f>BJ77/BJ57*100</f>
        <v>#DIV/0!</v>
      </c>
      <c r="BN77" s="35"/>
      <c r="BO77" s="35"/>
      <c r="BP77" s="33" t="e">
        <f t="shared" si="7"/>
        <v>#DIV/0!</v>
      </c>
      <c r="BQ77" s="56" t="e">
        <f>BN77/BN57*100</f>
        <v>#DIV/0!</v>
      </c>
      <c r="BR77" s="46" t="e">
        <f>BO77/BO57*100</f>
        <v>#DIV/0!</v>
      </c>
    </row>
    <row r="78" spans="1:70" s="8" customFormat="1" ht="22.5" customHeight="1">
      <c r="A78" s="20"/>
      <c r="B78" s="30" t="s">
        <v>82</v>
      </c>
      <c r="C78" s="31"/>
      <c r="D78" s="31"/>
      <c r="E78" s="32"/>
      <c r="F78" s="32"/>
      <c r="G78" s="33"/>
      <c r="H78" s="33"/>
      <c r="I78" s="33"/>
      <c r="J78" s="35">
        <v>632</v>
      </c>
      <c r="K78" s="35"/>
      <c r="L78" s="35">
        <v>454</v>
      </c>
      <c r="M78" s="33">
        <f t="shared" si="8"/>
        <v>1.3920704845814977</v>
      </c>
      <c r="N78" s="56">
        <f>J78/J57*100</f>
        <v>0.19446273515529325</v>
      </c>
      <c r="O78" s="46">
        <f>L78/L57*100</f>
        <v>0.16535788691560194</v>
      </c>
      <c r="P78" s="35">
        <v>1503</v>
      </c>
      <c r="Q78" s="35">
        <v>1081</v>
      </c>
      <c r="R78" s="33">
        <f t="shared" si="9"/>
        <v>1.3903792784458835</v>
      </c>
      <c r="S78" s="56">
        <f>P78/P57*100</f>
        <v>0.20467442059980637</v>
      </c>
      <c r="T78" s="46">
        <f>Q78/Q57*100</f>
        <v>0.18596601690381204</v>
      </c>
      <c r="U78" s="35">
        <v>2493</v>
      </c>
      <c r="V78" s="35">
        <v>1735</v>
      </c>
      <c r="W78" s="33">
        <f t="shared" si="0"/>
        <v>1.4368876080691642</v>
      </c>
      <c r="X78" s="56">
        <f>U78/U57*100</f>
        <v>0.21875885718898816</v>
      </c>
      <c r="Y78" s="46">
        <f>V78/V57*100</f>
        <v>0.1877031196583046</v>
      </c>
      <c r="Z78" s="35">
        <v>3474</v>
      </c>
      <c r="AA78" s="35">
        <v>2254</v>
      </c>
      <c r="AB78" s="33">
        <f t="shared" si="1"/>
        <v>1.5412599822537711</v>
      </c>
      <c r="AC78" s="56">
        <f>Z78/Z57*100</f>
        <v>0.22519033250253617</v>
      </c>
      <c r="AD78" s="46">
        <f>AA78/AA57*100</f>
        <v>0.18060159400537318</v>
      </c>
      <c r="AE78" s="35">
        <v>4191</v>
      </c>
      <c r="AF78" s="35">
        <v>2726</v>
      </c>
      <c r="AG78" s="33">
        <f t="shared" si="2"/>
        <v>1.5374174614820248</v>
      </c>
      <c r="AH78" s="56">
        <f>AE78/AE57*100</f>
        <v>0.21790321062781187</v>
      </c>
      <c r="AI78" s="46">
        <f>AF78/AF57*100</f>
        <v>0.1699826587757133</v>
      </c>
      <c r="AJ78" s="35">
        <v>5001</v>
      </c>
      <c r="AK78" s="35">
        <v>3213</v>
      </c>
      <c r="AL78" s="33">
        <f t="shared" si="10"/>
        <v>1.5564892623716153</v>
      </c>
      <c r="AM78" s="56">
        <f>AJ78/AJ57*100</f>
        <v>0.21731015995609476</v>
      </c>
      <c r="AN78" s="46">
        <f>AK78/AK57*100</f>
        <v>0.16014953271028037</v>
      </c>
      <c r="AO78" s="35"/>
      <c r="AP78" s="35"/>
      <c r="AQ78" s="33" t="e">
        <f t="shared" si="11"/>
        <v>#DIV/0!</v>
      </c>
      <c r="AR78" s="56" t="e">
        <f>AO78/AO57*100</f>
        <v>#DIV/0!</v>
      </c>
      <c r="AS78" s="46" t="e">
        <f>AP78/AP57*100</f>
        <v>#DIV/0!</v>
      </c>
      <c r="AT78" s="35"/>
      <c r="AU78" s="35"/>
      <c r="AV78" s="33" t="e">
        <f t="shared" si="3"/>
        <v>#DIV/0!</v>
      </c>
      <c r="AW78" s="56" t="e">
        <f>AT78/AT57*100</f>
        <v>#DIV/0!</v>
      </c>
      <c r="AX78" s="46" t="e">
        <f>AU78/AU57*100</f>
        <v>#DIV/0!</v>
      </c>
      <c r="AY78" s="35"/>
      <c r="AZ78" s="35"/>
      <c r="BA78" s="33" t="e">
        <f t="shared" si="4"/>
        <v>#DIV/0!</v>
      </c>
      <c r="BB78" s="56" t="e">
        <f>AY78/AY57*100</f>
        <v>#DIV/0!</v>
      </c>
      <c r="BC78" s="46" t="e">
        <f>AZ78/AZ57*100</f>
        <v>#DIV/0!</v>
      </c>
      <c r="BD78" s="35"/>
      <c r="BE78" s="35"/>
      <c r="BF78" s="33" t="e">
        <f t="shared" si="5"/>
        <v>#DIV/0!</v>
      </c>
      <c r="BG78" s="56" t="e">
        <f>BD78/BD57*100</f>
        <v>#DIV/0!</v>
      </c>
      <c r="BH78" s="46" t="e">
        <f>BE78/BE57*100</f>
        <v>#DIV/0!</v>
      </c>
      <c r="BI78" s="35"/>
      <c r="BJ78" s="35"/>
      <c r="BK78" s="33" t="e">
        <f t="shared" si="6"/>
        <v>#DIV/0!</v>
      </c>
      <c r="BL78" s="56" t="e">
        <f>BI78/BI57*100</f>
        <v>#DIV/0!</v>
      </c>
      <c r="BM78" s="46" t="e">
        <f>BJ78/BJ57*100</f>
        <v>#DIV/0!</v>
      </c>
      <c r="BN78" s="35"/>
      <c r="BO78" s="35"/>
      <c r="BP78" s="33" t="e">
        <f t="shared" si="7"/>
        <v>#DIV/0!</v>
      </c>
      <c r="BQ78" s="56" t="e">
        <f>BN78/BN57*100</f>
        <v>#DIV/0!</v>
      </c>
      <c r="BR78" s="46" t="e">
        <f>BO78/BO57*100</f>
        <v>#DIV/0!</v>
      </c>
    </row>
    <row r="79" spans="1:70" s="8" customFormat="1" ht="22.5" customHeight="1">
      <c r="A79" s="20"/>
      <c r="B79" s="30" t="s">
        <v>83</v>
      </c>
      <c r="C79" s="31"/>
      <c r="D79" s="31"/>
      <c r="E79" s="32"/>
      <c r="F79" s="32"/>
      <c r="G79" s="33"/>
      <c r="H79" s="33"/>
      <c r="I79" s="33"/>
      <c r="J79" s="35">
        <v>576</v>
      </c>
      <c r="K79" s="35"/>
      <c r="L79" s="35">
        <v>357</v>
      </c>
      <c r="M79" s="33">
        <f t="shared" si="8"/>
        <v>1.6134453781512605</v>
      </c>
      <c r="N79" s="56">
        <f>J79/J57*100</f>
        <v>0.17723185988836854</v>
      </c>
      <c r="O79" s="46">
        <f>L79/L57*100</f>
        <v>0.13002811812526407</v>
      </c>
      <c r="P79" s="35">
        <v>1265</v>
      </c>
      <c r="Q79" s="35">
        <v>627</v>
      </c>
      <c r="R79" s="33">
        <f t="shared" si="9"/>
        <v>2.017543859649123</v>
      </c>
      <c r="S79" s="56">
        <f>P79/P57*100</f>
        <v>0.17226423290668996</v>
      </c>
      <c r="T79" s="46">
        <f>Q79/Q57*100</f>
        <v>0.1078637304335709</v>
      </c>
      <c r="U79" s="35">
        <v>2300</v>
      </c>
      <c r="V79" s="35">
        <v>974</v>
      </c>
      <c r="W79" s="33">
        <f t="shared" si="0"/>
        <v>2.3613963039014374</v>
      </c>
      <c r="X79" s="56">
        <f>U79/U57*100</f>
        <v>0.20182325372429716</v>
      </c>
      <c r="Y79" s="46">
        <f>V79/V57*100</f>
        <v>0.10537339397532489</v>
      </c>
      <c r="Z79" s="35">
        <v>3954</v>
      </c>
      <c r="AA79" s="35">
        <v>1416</v>
      </c>
      <c r="AB79" s="33">
        <f t="shared" si="1"/>
        <v>2.792372881355932</v>
      </c>
      <c r="AC79" s="56">
        <f>Z79/Z57*100</f>
        <v>0.2563047135046137</v>
      </c>
      <c r="AD79" s="46">
        <f>AA79/AA57*100</f>
        <v>0.1134569020016009</v>
      </c>
      <c r="AE79" s="35">
        <v>5285</v>
      </c>
      <c r="AF79" s="35">
        <v>2669</v>
      </c>
      <c r="AG79" s="33">
        <f t="shared" si="2"/>
        <v>1.9801423754215062</v>
      </c>
      <c r="AH79" s="56">
        <f>AE79/AE57*100</f>
        <v>0.2747836955781402</v>
      </c>
      <c r="AI79" s="46">
        <f>AF79/AF57*100</f>
        <v>0.16642836253572224</v>
      </c>
      <c r="AJ79" s="35">
        <v>6377</v>
      </c>
      <c r="AK79" s="35">
        <v>4034</v>
      </c>
      <c r="AL79" s="33">
        <f t="shared" si="10"/>
        <v>1.580813088745662</v>
      </c>
      <c r="AM79" s="56">
        <f>AJ79/AJ57*100</f>
        <v>0.27710195761647993</v>
      </c>
      <c r="AN79" s="46">
        <f>AK79/AK57*100</f>
        <v>0.2010716510903427</v>
      </c>
      <c r="AO79" s="35"/>
      <c r="AP79" s="35"/>
      <c r="AQ79" s="33" t="e">
        <f t="shared" si="11"/>
        <v>#DIV/0!</v>
      </c>
      <c r="AR79" s="56" t="e">
        <f>AO79/AO57*100</f>
        <v>#DIV/0!</v>
      </c>
      <c r="AS79" s="46" t="e">
        <f>AP79/AP57*100</f>
        <v>#DIV/0!</v>
      </c>
      <c r="AT79" s="35"/>
      <c r="AU79" s="35"/>
      <c r="AV79" s="33" t="e">
        <f t="shared" si="3"/>
        <v>#DIV/0!</v>
      </c>
      <c r="AW79" s="56" t="e">
        <f>AT79/AT57*100</f>
        <v>#DIV/0!</v>
      </c>
      <c r="AX79" s="46" t="e">
        <f>AU79/AU57*100</f>
        <v>#DIV/0!</v>
      </c>
      <c r="AY79" s="35"/>
      <c r="AZ79" s="35"/>
      <c r="BA79" s="33" t="e">
        <f t="shared" si="4"/>
        <v>#DIV/0!</v>
      </c>
      <c r="BB79" s="56" t="e">
        <f>AY79/AY57*100</f>
        <v>#DIV/0!</v>
      </c>
      <c r="BC79" s="46" t="e">
        <f>AZ79/AZ57*100</f>
        <v>#DIV/0!</v>
      </c>
      <c r="BD79" s="35"/>
      <c r="BE79" s="35"/>
      <c r="BF79" s="33" t="e">
        <f t="shared" si="5"/>
        <v>#DIV/0!</v>
      </c>
      <c r="BG79" s="56" t="e">
        <f>BD79/BD57*100</f>
        <v>#DIV/0!</v>
      </c>
      <c r="BH79" s="46" t="e">
        <f>BE79/BE57*100</f>
        <v>#DIV/0!</v>
      </c>
      <c r="BI79" s="35"/>
      <c r="BJ79" s="35"/>
      <c r="BK79" s="33" t="e">
        <f t="shared" si="6"/>
        <v>#DIV/0!</v>
      </c>
      <c r="BL79" s="56" t="e">
        <f>BI79/BI57*100</f>
        <v>#DIV/0!</v>
      </c>
      <c r="BM79" s="46" t="e">
        <f>BJ79/BJ57*100</f>
        <v>#DIV/0!</v>
      </c>
      <c r="BN79" s="35"/>
      <c r="BO79" s="35"/>
      <c r="BP79" s="33" t="e">
        <f t="shared" si="7"/>
        <v>#DIV/0!</v>
      </c>
      <c r="BQ79" s="56" t="e">
        <f>BN79/BN57*100</f>
        <v>#DIV/0!</v>
      </c>
      <c r="BR79" s="46" t="e">
        <f>BO79/BO57*100</f>
        <v>#DIV/0!</v>
      </c>
    </row>
    <row r="80" spans="1:70" s="8" customFormat="1" ht="22.5" customHeight="1">
      <c r="A80" s="20"/>
      <c r="B80" s="30" t="s">
        <v>84</v>
      </c>
      <c r="C80" s="31"/>
      <c r="D80" s="31"/>
      <c r="E80" s="32"/>
      <c r="F80" s="32"/>
      <c r="G80" s="33"/>
      <c r="H80" s="33"/>
      <c r="I80" s="33"/>
      <c r="J80" s="35">
        <v>1722</v>
      </c>
      <c r="K80" s="35"/>
      <c r="L80" s="35">
        <v>0</v>
      </c>
      <c r="M80" s="33" t="e">
        <f t="shared" si="8"/>
        <v>#DIV/0!</v>
      </c>
      <c r="N80" s="56">
        <f>J80/J57*100</f>
        <v>0.5298494144579351</v>
      </c>
      <c r="O80" s="46">
        <f>L80/L57*100</f>
        <v>0</v>
      </c>
      <c r="P80" s="35">
        <v>3519</v>
      </c>
      <c r="Q80" s="35">
        <v>0</v>
      </c>
      <c r="R80" s="33" t="e">
        <f t="shared" si="9"/>
        <v>#DIV/0!</v>
      </c>
      <c r="S80" s="56">
        <f>P80/P57*100</f>
        <v>0.4792077751767921</v>
      </c>
      <c r="T80" s="46">
        <f>Q80/Q57*100</f>
        <v>0</v>
      </c>
      <c r="U80" s="35">
        <v>5268</v>
      </c>
      <c r="V80" s="35">
        <v>4688</v>
      </c>
      <c r="W80" s="33">
        <f t="shared" si="0"/>
        <v>1.1237201365187712</v>
      </c>
      <c r="X80" s="56">
        <f>U80/U57*100</f>
        <v>0.46226300026939016</v>
      </c>
      <c r="Y80" s="46">
        <f>V80/V57*100</f>
        <v>0.5071770749038225</v>
      </c>
      <c r="Z80" s="35">
        <v>7002</v>
      </c>
      <c r="AA80" s="35">
        <v>6234</v>
      </c>
      <c r="AB80" s="33">
        <f t="shared" si="1"/>
        <v>1.1231953801732435</v>
      </c>
      <c r="AC80" s="56">
        <f>Z80/Z57*100</f>
        <v>0.453881032867806</v>
      </c>
      <c r="AD80" s="46">
        <f>AA80/AA57*100</f>
        <v>0.49949881855789546</v>
      </c>
      <c r="AE80" s="35">
        <v>8744</v>
      </c>
      <c r="AF80" s="35">
        <v>7816</v>
      </c>
      <c r="AG80" s="33">
        <f t="shared" si="2"/>
        <v>1.1187308085977483</v>
      </c>
      <c r="AH80" s="56">
        <f>AE80/AE57*100</f>
        <v>0.45462793455728634</v>
      </c>
      <c r="AI80" s="46">
        <f>AF80/AF57*100</f>
        <v>0.48737507739947733</v>
      </c>
      <c r="AJ80" s="35">
        <v>10521</v>
      </c>
      <c r="AK80" s="35">
        <v>9392</v>
      </c>
      <c r="AL80" s="33">
        <f t="shared" si="10"/>
        <v>1.120208688245315</v>
      </c>
      <c r="AM80" s="56">
        <f>AJ80/AJ57*100</f>
        <v>0.4571726040588028</v>
      </c>
      <c r="AN80" s="46">
        <f>AK80/AK57*100</f>
        <v>0.4681370716510903</v>
      </c>
      <c r="AO80" s="35"/>
      <c r="AP80" s="35"/>
      <c r="AQ80" s="33" t="e">
        <f t="shared" si="11"/>
        <v>#DIV/0!</v>
      </c>
      <c r="AR80" s="56" t="e">
        <f>AO80/AO57*100</f>
        <v>#DIV/0!</v>
      </c>
      <c r="AS80" s="46" t="e">
        <f>AP80/AP57*100</f>
        <v>#DIV/0!</v>
      </c>
      <c r="AT80" s="35"/>
      <c r="AU80" s="35"/>
      <c r="AV80" s="33" t="e">
        <f t="shared" si="3"/>
        <v>#DIV/0!</v>
      </c>
      <c r="AW80" s="56" t="e">
        <f>AT80/AT57*100</f>
        <v>#DIV/0!</v>
      </c>
      <c r="AX80" s="46" t="e">
        <f>AU80/AU57*100</f>
        <v>#DIV/0!</v>
      </c>
      <c r="AY80" s="35"/>
      <c r="AZ80" s="35"/>
      <c r="BA80" s="33" t="e">
        <f t="shared" si="4"/>
        <v>#DIV/0!</v>
      </c>
      <c r="BB80" s="56" t="e">
        <f>AY80/AY57*100</f>
        <v>#DIV/0!</v>
      </c>
      <c r="BC80" s="46" t="e">
        <f>AZ80/AZ57*100</f>
        <v>#DIV/0!</v>
      </c>
      <c r="BD80" s="35"/>
      <c r="BE80" s="35"/>
      <c r="BF80" s="33" t="e">
        <f t="shared" si="5"/>
        <v>#DIV/0!</v>
      </c>
      <c r="BG80" s="56" t="e">
        <f>BD80/BD57*100</f>
        <v>#DIV/0!</v>
      </c>
      <c r="BH80" s="46" t="e">
        <f>BE80/BE57*100</f>
        <v>#DIV/0!</v>
      </c>
      <c r="BI80" s="35"/>
      <c r="BJ80" s="35"/>
      <c r="BK80" s="33" t="e">
        <f t="shared" si="6"/>
        <v>#DIV/0!</v>
      </c>
      <c r="BL80" s="56" t="e">
        <f>BI80/BI57*100</f>
        <v>#DIV/0!</v>
      </c>
      <c r="BM80" s="46" t="e">
        <f>BJ80/BJ57*100</f>
        <v>#DIV/0!</v>
      </c>
      <c r="BN80" s="35"/>
      <c r="BO80" s="35"/>
      <c r="BP80" s="33" t="e">
        <f t="shared" si="7"/>
        <v>#DIV/0!</v>
      </c>
      <c r="BQ80" s="56" t="e">
        <f>BN80/BN57*100</f>
        <v>#DIV/0!</v>
      </c>
      <c r="BR80" s="46" t="e">
        <f>BO80/BO57*100</f>
        <v>#DIV/0!</v>
      </c>
    </row>
    <row r="81" spans="1:70" s="8" customFormat="1" ht="19.5" customHeight="1">
      <c r="A81" s="20"/>
      <c r="B81" s="30" t="s">
        <v>85</v>
      </c>
      <c r="C81" s="31"/>
      <c r="D81" s="31"/>
      <c r="E81" s="32"/>
      <c r="F81" s="32"/>
      <c r="G81" s="33"/>
      <c r="H81" s="33"/>
      <c r="I81" s="33"/>
      <c r="J81" s="35">
        <v>2305</v>
      </c>
      <c r="K81" s="35"/>
      <c r="L81" s="35">
        <v>1830</v>
      </c>
      <c r="M81" s="33">
        <f t="shared" si="8"/>
        <v>1.2595628415300546</v>
      </c>
      <c r="N81" s="56">
        <f>J81/J57*100</f>
        <v>0.7092351337546692</v>
      </c>
      <c r="O81" s="46">
        <f>L81/L57*100</f>
        <v>0.6665306895496729</v>
      </c>
      <c r="P81" s="35">
        <v>4280</v>
      </c>
      <c r="Q81" s="35">
        <v>3831</v>
      </c>
      <c r="R81" s="33">
        <f t="shared" si="9"/>
        <v>1.1172017749934744</v>
      </c>
      <c r="S81" s="56">
        <f>P81/P57*100</f>
        <v>0.5828386694392357</v>
      </c>
      <c r="T81" s="46">
        <f>Q81/Q57*100</f>
        <v>0.6590525538931582</v>
      </c>
      <c r="U81" s="35">
        <v>5972</v>
      </c>
      <c r="V81" s="35">
        <v>5901</v>
      </c>
      <c r="W81" s="33">
        <f t="shared" si="0"/>
        <v>1.012031859006948</v>
      </c>
      <c r="X81" s="56">
        <f>U81/U57*100</f>
        <v>0.524038465757175</v>
      </c>
      <c r="Y81" s="46">
        <f>V81/V57*100</f>
        <v>0.6384069793104642</v>
      </c>
      <c r="Z81" s="35">
        <v>8385</v>
      </c>
      <c r="AA81" s="35">
        <v>7743</v>
      </c>
      <c r="AB81" s="33">
        <f t="shared" si="1"/>
        <v>1.0829135993800851</v>
      </c>
      <c r="AC81" s="56">
        <f>Z81/Z57*100</f>
        <v>0.5435293431300419</v>
      </c>
      <c r="AD81" s="46">
        <f>AA81/AA57*100</f>
        <v>0.6204073391231608</v>
      </c>
      <c r="AE81" s="35">
        <v>11360</v>
      </c>
      <c r="AF81" s="35">
        <v>10204</v>
      </c>
      <c r="AG81" s="33">
        <f t="shared" si="2"/>
        <v>1.1132889063112505</v>
      </c>
      <c r="AH81" s="56">
        <f>AE81/AE57*100</f>
        <v>0.5906419643836657</v>
      </c>
      <c r="AI81" s="46">
        <f>AF81/AF57*100</f>
        <v>0.6362813830327875</v>
      </c>
      <c r="AJ81" s="35">
        <v>14288</v>
      </c>
      <c r="AK81" s="35">
        <v>12832</v>
      </c>
      <c r="AL81" s="33">
        <f t="shared" si="10"/>
        <v>1.1134663341645885</v>
      </c>
      <c r="AM81" s="56">
        <f>AJ81/AJ57*100</f>
        <v>0.6208613408223719</v>
      </c>
      <c r="AN81" s="46">
        <f>AK81/AK57*100</f>
        <v>0.6396012461059191</v>
      </c>
      <c r="AO81" s="35"/>
      <c r="AP81" s="35"/>
      <c r="AQ81" s="33" t="e">
        <f t="shared" si="11"/>
        <v>#DIV/0!</v>
      </c>
      <c r="AR81" s="56" t="e">
        <f>AO81/AO57*100</f>
        <v>#DIV/0!</v>
      </c>
      <c r="AS81" s="46" t="e">
        <f>AP81/AP57*100</f>
        <v>#DIV/0!</v>
      </c>
      <c r="AT81" s="35"/>
      <c r="AU81" s="35"/>
      <c r="AV81" s="33" t="e">
        <f t="shared" si="3"/>
        <v>#DIV/0!</v>
      </c>
      <c r="AW81" s="56" t="e">
        <f>AT81/AT57*100</f>
        <v>#DIV/0!</v>
      </c>
      <c r="AX81" s="46" t="e">
        <f>AU81/AU57*100</f>
        <v>#DIV/0!</v>
      </c>
      <c r="AY81" s="35"/>
      <c r="AZ81" s="35"/>
      <c r="BA81" s="33" t="e">
        <f t="shared" si="4"/>
        <v>#DIV/0!</v>
      </c>
      <c r="BB81" s="56" t="e">
        <f>AY81/AY57*100</f>
        <v>#DIV/0!</v>
      </c>
      <c r="BC81" s="46" t="e">
        <f>AZ81/AZ57*100</f>
        <v>#DIV/0!</v>
      </c>
      <c r="BD81" s="35"/>
      <c r="BE81" s="35"/>
      <c r="BF81" s="33" t="e">
        <f t="shared" si="5"/>
        <v>#DIV/0!</v>
      </c>
      <c r="BG81" s="56" t="e">
        <f>BD81/BD57*100</f>
        <v>#DIV/0!</v>
      </c>
      <c r="BH81" s="46" t="e">
        <f>BE81/BE57*100</f>
        <v>#DIV/0!</v>
      </c>
      <c r="BI81" s="35"/>
      <c r="BJ81" s="35"/>
      <c r="BK81" s="33" t="e">
        <f t="shared" si="6"/>
        <v>#DIV/0!</v>
      </c>
      <c r="BL81" s="56" t="e">
        <f>BI81/BI57*100</f>
        <v>#DIV/0!</v>
      </c>
      <c r="BM81" s="46" t="e">
        <f>BJ81/BJ57*100</f>
        <v>#DIV/0!</v>
      </c>
      <c r="BN81" s="35"/>
      <c r="BO81" s="35"/>
      <c r="BP81" s="33" t="e">
        <f t="shared" si="7"/>
        <v>#DIV/0!</v>
      </c>
      <c r="BQ81" s="56" t="e">
        <f>BN81/BN57*100</f>
        <v>#DIV/0!</v>
      </c>
      <c r="BR81" s="46" t="e">
        <f>BO81/BO57*100</f>
        <v>#DIV/0!</v>
      </c>
    </row>
    <row r="82" spans="1:70" s="8" customFormat="1" ht="45.75" customHeight="1">
      <c r="A82" s="57"/>
      <c r="B82" s="58" t="s">
        <v>86</v>
      </c>
      <c r="C82" s="59"/>
      <c r="D82" s="59"/>
      <c r="E82" s="60"/>
      <c r="F82" s="61"/>
      <c r="G82" s="61"/>
      <c r="H82" s="61"/>
      <c r="I82" s="61"/>
      <c r="J82" s="62">
        <v>20913</v>
      </c>
      <c r="K82" s="63"/>
      <c r="L82" s="62">
        <v>14340</v>
      </c>
      <c r="M82" s="64">
        <f t="shared" si="8"/>
        <v>1.4583682008368202</v>
      </c>
      <c r="N82" s="65">
        <f>J82/J57*100</f>
        <v>6.434808829592797</v>
      </c>
      <c r="O82" s="66">
        <f>L82/L57*100</f>
        <v>5.222978190241699</v>
      </c>
      <c r="P82" s="62">
        <v>43057</v>
      </c>
      <c r="Q82" s="62">
        <v>27900</v>
      </c>
      <c r="R82" s="64">
        <f t="shared" si="9"/>
        <v>1.5432616487455197</v>
      </c>
      <c r="S82" s="65">
        <f>P82/P57*100</f>
        <v>5.8633842500105535</v>
      </c>
      <c r="T82" s="66">
        <f>Q82/Q57*100</f>
        <v>4.7996779570919115</v>
      </c>
      <c r="U82" s="62">
        <v>68112</v>
      </c>
      <c r="V82" s="62">
        <v>46773</v>
      </c>
      <c r="W82" s="64">
        <f t="shared" si="0"/>
        <v>1.4562247450452184</v>
      </c>
      <c r="X82" s="65">
        <f>U82/U57*100</f>
        <v>5.9767762859431866</v>
      </c>
      <c r="Y82" s="66">
        <f>V82/V57*100</f>
        <v>5.060194821773995</v>
      </c>
      <c r="Z82" s="62">
        <v>92240</v>
      </c>
      <c r="AA82" s="62">
        <v>65574</v>
      </c>
      <c r="AB82" s="64">
        <f t="shared" si="1"/>
        <v>1.4066550767072314</v>
      </c>
      <c r="AC82" s="65">
        <f>Z82/Z57*100</f>
        <v>5.9791468825658995</v>
      </c>
      <c r="AD82" s="66">
        <f>AA82/AA57*100</f>
        <v>5.254112211760577</v>
      </c>
      <c r="AE82" s="62">
        <v>116263</v>
      </c>
      <c r="AF82" s="62">
        <v>84250</v>
      </c>
      <c r="AG82" s="64">
        <f t="shared" si="2"/>
        <v>1.3799762611275965</v>
      </c>
      <c r="AH82" s="65">
        <f>AE82/AE57*100</f>
        <v>6.044877350804412</v>
      </c>
      <c r="AI82" s="66">
        <f>AF82/AF57*100</f>
        <v>5.253499267004345</v>
      </c>
      <c r="AJ82" s="62">
        <v>140458</v>
      </c>
      <c r="AK82" s="62">
        <v>106874</v>
      </c>
      <c r="AL82" s="64">
        <f t="shared" si="10"/>
        <v>1.3142391975597432</v>
      </c>
      <c r="AM82" s="65">
        <f>AJ82/AJ57*100</f>
        <v>6.1033694155395235</v>
      </c>
      <c r="AN82" s="66">
        <f>AK82/AK57*100</f>
        <v>5.327052959501557</v>
      </c>
      <c r="AO82" s="62"/>
      <c r="AP82" s="62"/>
      <c r="AQ82" s="64" t="e">
        <f t="shared" si="11"/>
        <v>#DIV/0!</v>
      </c>
      <c r="AR82" s="65" t="e">
        <f>AO82/AO57*100</f>
        <v>#DIV/0!</v>
      </c>
      <c r="AS82" s="66" t="e">
        <f>AP82/AP57*100</f>
        <v>#DIV/0!</v>
      </c>
      <c r="AT82" s="62"/>
      <c r="AU82" s="62"/>
      <c r="AV82" s="64" t="e">
        <f t="shared" si="3"/>
        <v>#DIV/0!</v>
      </c>
      <c r="AW82" s="65" t="e">
        <f>AT82/AT57*100</f>
        <v>#DIV/0!</v>
      </c>
      <c r="AX82" s="66" t="e">
        <f>AU82/AU57*100</f>
        <v>#DIV/0!</v>
      </c>
      <c r="AY82" s="62"/>
      <c r="AZ82" s="62"/>
      <c r="BA82" s="64" t="e">
        <f t="shared" si="4"/>
        <v>#DIV/0!</v>
      </c>
      <c r="BB82" s="65" t="e">
        <f>AY82/AY57*100</f>
        <v>#DIV/0!</v>
      </c>
      <c r="BC82" s="66" t="e">
        <f>AZ82/AZ57*100</f>
        <v>#DIV/0!</v>
      </c>
      <c r="BD82" s="62"/>
      <c r="BE82" s="62"/>
      <c r="BF82" s="64" t="e">
        <f t="shared" si="5"/>
        <v>#DIV/0!</v>
      </c>
      <c r="BG82" s="65" t="e">
        <f>BD82/BD57*100</f>
        <v>#DIV/0!</v>
      </c>
      <c r="BH82" s="66" t="e">
        <f>BE82/BE57*100</f>
        <v>#DIV/0!</v>
      </c>
      <c r="BI82" s="62"/>
      <c r="BJ82" s="62"/>
      <c r="BK82" s="64" t="e">
        <f t="shared" si="6"/>
        <v>#DIV/0!</v>
      </c>
      <c r="BL82" s="65" t="e">
        <f>BI82/BI57*100</f>
        <v>#DIV/0!</v>
      </c>
      <c r="BM82" s="66" t="e">
        <f>BJ82/BJ57*100</f>
        <v>#DIV/0!</v>
      </c>
      <c r="BN82" s="62"/>
      <c r="BO82" s="62"/>
      <c r="BP82" s="64" t="e">
        <f t="shared" si="7"/>
        <v>#DIV/0!</v>
      </c>
      <c r="BQ82" s="65" t="e">
        <f>BN82/BN57*100</f>
        <v>#DIV/0!</v>
      </c>
      <c r="BR82" s="66" t="e">
        <f>BO82/BO57*100</f>
        <v>#DIV/0!</v>
      </c>
    </row>
    <row r="83" spans="1:70" s="8" customFormat="1" ht="20.25" customHeight="1">
      <c r="A83" s="67">
        <v>4</v>
      </c>
      <c r="B83" s="68" t="s">
        <v>87</v>
      </c>
      <c r="C83" s="69"/>
      <c r="D83" s="69"/>
      <c r="E83" s="70"/>
      <c r="F83" s="71"/>
      <c r="G83" s="71"/>
      <c r="H83" s="71"/>
      <c r="I83" s="71"/>
      <c r="J83" s="70">
        <v>106.7</v>
      </c>
      <c r="K83" s="70"/>
      <c r="L83" s="70">
        <v>111.3</v>
      </c>
      <c r="M83" s="72"/>
      <c r="N83" s="69"/>
      <c r="O83" s="69"/>
      <c r="P83" s="70">
        <v>122.8</v>
      </c>
      <c r="Q83" s="70">
        <v>106</v>
      </c>
      <c r="R83" s="72"/>
      <c r="S83" s="69"/>
      <c r="T83" s="69"/>
      <c r="U83" s="70">
        <v>121.3</v>
      </c>
      <c r="V83" s="70">
        <v>115.9</v>
      </c>
      <c r="W83" s="72"/>
      <c r="X83" s="69"/>
      <c r="Y83" s="69"/>
      <c r="Z83" s="70">
        <v>136.3</v>
      </c>
      <c r="AA83" s="70">
        <v>110.8</v>
      </c>
      <c r="AB83" s="72"/>
      <c r="AC83" s="69"/>
      <c r="AD83" s="69"/>
      <c r="AE83" s="70">
        <v>135.3</v>
      </c>
      <c r="AF83" s="70">
        <v>108.7</v>
      </c>
      <c r="AG83" s="72"/>
      <c r="AH83" s="69"/>
      <c r="AI83" s="69"/>
      <c r="AJ83" s="70">
        <v>140.1</v>
      </c>
      <c r="AK83" s="70"/>
      <c r="AL83" s="72"/>
      <c r="AM83" s="69"/>
      <c r="AN83" s="69"/>
      <c r="AO83" s="70"/>
      <c r="AP83" s="70">
        <v>134</v>
      </c>
      <c r="AQ83" s="72"/>
      <c r="AR83" s="69"/>
      <c r="AS83" s="69"/>
      <c r="AT83" s="70"/>
      <c r="AU83" s="70">
        <v>139.7</v>
      </c>
      <c r="AV83" s="72">
        <f t="shared" si="3"/>
        <v>0</v>
      </c>
      <c r="AW83" s="69"/>
      <c r="AX83" s="69"/>
      <c r="AY83" s="70"/>
      <c r="AZ83" s="70"/>
      <c r="BA83" s="72"/>
      <c r="BB83" s="69"/>
      <c r="BC83" s="69"/>
      <c r="BD83" s="70"/>
      <c r="BE83" s="70"/>
      <c r="BF83" s="72"/>
      <c r="BG83" s="69"/>
      <c r="BH83" s="69"/>
      <c r="BI83" s="70"/>
      <c r="BJ83" s="70"/>
      <c r="BK83" s="72"/>
      <c r="BL83" s="69"/>
      <c r="BM83" s="69"/>
      <c r="BN83" s="70"/>
      <c r="BO83" s="70"/>
      <c r="BP83" s="72"/>
      <c r="BQ83" s="69"/>
      <c r="BR83" s="69"/>
    </row>
    <row r="84" spans="1:70" s="8" customFormat="1" ht="28.5" customHeight="1">
      <c r="A84" s="67">
        <v>5</v>
      </c>
      <c r="B84" s="68" t="s">
        <v>88</v>
      </c>
      <c r="C84" s="69"/>
      <c r="D84" s="69"/>
      <c r="E84" s="70"/>
      <c r="F84" s="71"/>
      <c r="G84" s="71"/>
      <c r="H84" s="71"/>
      <c r="I84" s="71"/>
      <c r="J84" s="73">
        <f>SUM(J86:J88)</f>
        <v>14836</v>
      </c>
      <c r="K84" s="73">
        <f>SUM(K86:K88)</f>
        <v>0</v>
      </c>
      <c r="L84" s="73">
        <f>SUM(L86:L88)</f>
        <v>14622</v>
      </c>
      <c r="M84" s="74">
        <f>J84/L84</f>
        <v>1.0146354807823827</v>
      </c>
      <c r="N84" s="75"/>
      <c r="O84" s="69"/>
      <c r="P84" s="73">
        <f>SUM(P86:P88)</f>
        <v>14898</v>
      </c>
      <c r="Q84" s="73">
        <f>SUM(Q86:Q88)</f>
        <v>14621</v>
      </c>
      <c r="R84" s="74">
        <f>P84/Q84</f>
        <v>1.0189453525750634</v>
      </c>
      <c r="S84" s="75"/>
      <c r="T84" s="69"/>
      <c r="U84" s="73">
        <f>SUM(U86:U88)</f>
        <v>14837</v>
      </c>
      <c r="V84" s="73">
        <f>SUM(V86:V88)</f>
        <v>14445</v>
      </c>
      <c r="W84" s="74">
        <f>U84/V84</f>
        <v>1.0271374177916235</v>
      </c>
      <c r="X84" s="75">
        <f>SUM(X86:X88)</f>
        <v>100.13677628664</v>
      </c>
      <c r="Y84" s="75" t="e">
        <f>SUM(Y86:Y88)</f>
        <v>#DIV/0!</v>
      </c>
      <c r="Z84" s="76">
        <f>SUM(Z86:Z88)</f>
        <v>14806</v>
      </c>
      <c r="AA84" s="76">
        <f>SUM(AA86:AA88)</f>
        <v>14441</v>
      </c>
      <c r="AB84" s="74">
        <f>U84/V84</f>
        <v>1.0271374177916235</v>
      </c>
      <c r="AC84" s="75">
        <f>SUM(AC86:AC88)</f>
        <v>100</v>
      </c>
      <c r="AD84" s="75">
        <f>SUM(AD86:AD88)</f>
        <v>100</v>
      </c>
      <c r="AE84" s="73">
        <f>SUM(AE86:AE88)</f>
        <v>14796</v>
      </c>
      <c r="AF84" s="73">
        <f>SUM(AF86:AF88)</f>
        <v>14414</v>
      </c>
      <c r="AG84" s="74">
        <f>AE84/AF84</f>
        <v>1.026502011932843</v>
      </c>
      <c r="AH84" s="75">
        <f>SUM(AH86:AH88)</f>
        <v>100</v>
      </c>
      <c r="AI84" s="75">
        <f>SUM(AI86:AI88)</f>
        <v>100</v>
      </c>
      <c r="AJ84" s="73"/>
      <c r="AK84" s="73"/>
      <c r="AL84" s="74" t="e">
        <f aca="true" t="shared" si="12" ref="AL84:AL94">AJ84/AK84</f>
        <v>#DIV/0!</v>
      </c>
      <c r="AM84" s="75"/>
      <c r="AN84" s="69"/>
      <c r="AO84" s="73">
        <f>SUM(AO86:AO88)</f>
        <v>0</v>
      </c>
      <c r="AP84" s="73">
        <f>SUM(AP86:AP88)</f>
        <v>0</v>
      </c>
      <c r="AQ84" s="74" t="e">
        <f>AO84/AP84</f>
        <v>#DIV/0!</v>
      </c>
      <c r="AR84" s="75"/>
      <c r="AS84" s="69"/>
      <c r="AT84" s="73">
        <f>SUM(AT86:AT88)</f>
        <v>0</v>
      </c>
      <c r="AU84" s="73">
        <f>SUM(AU86:AU88)</f>
        <v>0</v>
      </c>
      <c r="AV84" s="74" t="e">
        <f>AT84/AU84</f>
        <v>#DIV/0!</v>
      </c>
      <c r="AW84" s="75" t="e">
        <f>SUM(AW86:AW88)</f>
        <v>#DIV/0!</v>
      </c>
      <c r="AX84" s="75" t="e">
        <f>SUM(AX86:AX88)</f>
        <v>#DIV/0!</v>
      </c>
      <c r="AY84" s="73">
        <f>SUM(AY86:AY88)</f>
        <v>0</v>
      </c>
      <c r="AZ84" s="73">
        <f>SUM(AZ86:AZ88)</f>
        <v>0</v>
      </c>
      <c r="BA84" s="74" t="e">
        <f>AY84/AZ84</f>
        <v>#DIV/0!</v>
      </c>
      <c r="BB84" s="75" t="e">
        <f>SUM(BB86:BB88)</f>
        <v>#DIV/0!</v>
      </c>
      <c r="BC84" s="75" t="e">
        <f>SUM(BC86:BC88)</f>
        <v>#DIV/0!</v>
      </c>
      <c r="BD84" s="73">
        <f>SUM(BD86:BD88)</f>
        <v>0</v>
      </c>
      <c r="BE84" s="73">
        <f>SUM(BE86:BE88)</f>
        <v>0</v>
      </c>
      <c r="BF84" s="74" t="e">
        <f>BD84/BE84</f>
        <v>#DIV/0!</v>
      </c>
      <c r="BG84" s="75" t="e">
        <f>SUM(BG86:BG88)</f>
        <v>#DIV/0!</v>
      </c>
      <c r="BH84" s="75" t="e">
        <f>SUM(BH86:BH88)</f>
        <v>#DIV/0!</v>
      </c>
      <c r="BI84" s="73">
        <f>SUM(BI86:BI88)</f>
        <v>0</v>
      </c>
      <c r="BJ84" s="73">
        <f>SUM(BJ86:BJ88)</f>
        <v>0</v>
      </c>
      <c r="BK84" s="74" t="e">
        <f>BI84/BJ84</f>
        <v>#DIV/0!</v>
      </c>
      <c r="BL84" s="75" t="e">
        <f>SUM(BL86:BL88)</f>
        <v>#DIV/0!</v>
      </c>
      <c r="BM84" s="75" t="e">
        <f>SUM(BM86:BM88)</f>
        <v>#DIV/0!</v>
      </c>
      <c r="BN84" s="73">
        <f>SUM(BN86:BN88)</f>
        <v>0</v>
      </c>
      <c r="BO84" s="73">
        <f>SUM(BO86:BO88)</f>
        <v>0</v>
      </c>
      <c r="BP84" s="74" t="e">
        <f>BN84/BO84</f>
        <v>#DIV/0!</v>
      </c>
      <c r="BQ84" s="75" t="e">
        <f>SUM(BQ86:BQ88)</f>
        <v>#DIV/0!</v>
      </c>
      <c r="BR84" s="75" t="e">
        <f>SUM(BR86:BR88)</f>
        <v>#DIV/0!</v>
      </c>
    </row>
    <row r="85" spans="1:70" s="8" customFormat="1" ht="17.25" customHeight="1">
      <c r="A85" s="77"/>
      <c r="B85" s="78" t="s">
        <v>89</v>
      </c>
      <c r="C85" s="79"/>
      <c r="D85" s="79"/>
      <c r="E85" s="80"/>
      <c r="F85" s="81"/>
      <c r="G85" s="81"/>
      <c r="H85" s="81"/>
      <c r="I85" s="81"/>
      <c r="J85" s="82"/>
      <c r="K85" s="83"/>
      <c r="L85" s="83"/>
      <c r="M85" s="74" t="e">
        <f aca="true" t="shared" si="13" ref="M85:M100">J85/L85</f>
        <v>#DIV/0!</v>
      </c>
      <c r="N85" s="79"/>
      <c r="O85" s="79"/>
      <c r="P85" s="84"/>
      <c r="Q85" s="80"/>
      <c r="R85" s="85"/>
      <c r="S85" s="79"/>
      <c r="T85" s="79"/>
      <c r="U85" s="84"/>
      <c r="V85" s="80"/>
      <c r="W85" s="86"/>
      <c r="X85" s="79"/>
      <c r="Y85" s="79"/>
      <c r="Z85" s="87"/>
      <c r="AA85" s="88"/>
      <c r="AB85" s="85"/>
      <c r="AC85" s="79"/>
      <c r="AD85" s="79"/>
      <c r="AE85" s="84"/>
      <c r="AF85" s="80"/>
      <c r="AG85" s="85"/>
      <c r="AH85" s="79"/>
      <c r="AI85" s="79"/>
      <c r="AJ85" s="82"/>
      <c r="AK85" s="83"/>
      <c r="AL85" s="74" t="e">
        <f t="shared" si="12"/>
        <v>#DIV/0!</v>
      </c>
      <c r="AM85" s="79"/>
      <c r="AN85" s="79"/>
      <c r="AO85" s="84"/>
      <c r="AP85" s="80"/>
      <c r="AQ85" s="85"/>
      <c r="AR85" s="79"/>
      <c r="AS85" s="79"/>
      <c r="AT85" s="84"/>
      <c r="AU85" s="80"/>
      <c r="AV85" s="85"/>
      <c r="AW85" s="79"/>
      <c r="AX85" s="79"/>
      <c r="AY85" s="84"/>
      <c r="AZ85" s="80"/>
      <c r="BA85" s="85"/>
      <c r="BB85" s="79"/>
      <c r="BC85" s="79"/>
      <c r="BD85" s="84"/>
      <c r="BE85" s="80"/>
      <c r="BF85" s="85"/>
      <c r="BG85" s="79"/>
      <c r="BH85" s="79"/>
      <c r="BI85" s="84"/>
      <c r="BJ85" s="80"/>
      <c r="BK85" s="85"/>
      <c r="BL85" s="79"/>
      <c r="BM85" s="79"/>
      <c r="BN85" s="84"/>
      <c r="BO85" s="80"/>
      <c r="BP85" s="85"/>
      <c r="BQ85" s="79"/>
      <c r="BR85" s="79"/>
    </row>
    <row r="86" spans="1:70" s="8" customFormat="1" ht="17.25" customHeight="1">
      <c r="A86" s="77"/>
      <c r="B86" s="84" t="s">
        <v>90</v>
      </c>
      <c r="C86" s="79"/>
      <c r="D86" s="79"/>
      <c r="E86" s="80"/>
      <c r="F86" s="81"/>
      <c r="G86" s="81"/>
      <c r="H86" s="81"/>
      <c r="I86" s="81"/>
      <c r="J86" s="83">
        <v>12272</v>
      </c>
      <c r="K86" s="83"/>
      <c r="L86" s="83">
        <v>11962</v>
      </c>
      <c r="M86" s="74">
        <f t="shared" si="13"/>
        <v>1.0259153987627487</v>
      </c>
      <c r="N86" s="89">
        <f>J86/J84*100</f>
        <v>82.71771366945269</v>
      </c>
      <c r="O86" s="79"/>
      <c r="P86" s="90">
        <v>12334</v>
      </c>
      <c r="Q86" s="90">
        <v>11961</v>
      </c>
      <c r="R86" s="74">
        <f>P86/Q86</f>
        <v>1.0311846835548868</v>
      </c>
      <c r="S86" s="89">
        <f>P86/P84*100</f>
        <v>82.78963619277755</v>
      </c>
      <c r="T86" s="79"/>
      <c r="U86" s="91">
        <v>12334</v>
      </c>
      <c r="V86" s="83">
        <v>11989</v>
      </c>
      <c r="W86" s="74">
        <f>U86/V86</f>
        <v>1.028776378346818</v>
      </c>
      <c r="X86" s="89">
        <f>U86/U84*100</f>
        <v>83.13001280582328</v>
      </c>
      <c r="Y86" s="89">
        <f>V86/V84*100</f>
        <v>82.99757701626861</v>
      </c>
      <c r="Z86" s="92">
        <v>12303</v>
      </c>
      <c r="AA86" s="92">
        <v>11985</v>
      </c>
      <c r="AB86" s="74"/>
      <c r="AC86" s="89">
        <f>U86/U84*100</f>
        <v>83.13001280582328</v>
      </c>
      <c r="AD86" s="89">
        <f>V86/V84*100</f>
        <v>82.99757701626861</v>
      </c>
      <c r="AE86" s="90">
        <v>12293</v>
      </c>
      <c r="AF86" s="90">
        <v>11958</v>
      </c>
      <c r="AG86" s="74">
        <f>AE86/AF86</f>
        <v>1.0280147181802977</v>
      </c>
      <c r="AH86" s="89">
        <f>AE86/AE84*100</f>
        <v>83.08326574749933</v>
      </c>
      <c r="AI86" s="89">
        <f>AF86/AF84*100</f>
        <v>82.96101012904121</v>
      </c>
      <c r="AJ86" s="83"/>
      <c r="AK86" s="83"/>
      <c r="AL86" s="74" t="e">
        <f t="shared" si="12"/>
        <v>#DIV/0!</v>
      </c>
      <c r="AM86" s="89" t="e">
        <f>AJ86/AJ84*100</f>
        <v>#DIV/0!</v>
      </c>
      <c r="AN86" s="79"/>
      <c r="AO86" s="91"/>
      <c r="AP86" s="83"/>
      <c r="AQ86" s="74" t="e">
        <f>AO86/AP86</f>
        <v>#DIV/0!</v>
      </c>
      <c r="AR86" s="89" t="e">
        <f>AO86/AO84*100</f>
        <v>#DIV/0!</v>
      </c>
      <c r="AS86" s="79"/>
      <c r="AT86" s="91"/>
      <c r="AU86" s="83"/>
      <c r="AV86" s="74" t="e">
        <f>AT86/AU86</f>
        <v>#DIV/0!</v>
      </c>
      <c r="AW86" s="89" t="e">
        <f>AT86/AT84*100</f>
        <v>#DIV/0!</v>
      </c>
      <c r="AX86" s="89" t="e">
        <f>AU86/AU84*100</f>
        <v>#DIV/0!</v>
      </c>
      <c r="AY86" s="91"/>
      <c r="AZ86" s="83"/>
      <c r="BA86" s="74" t="e">
        <f>AY86/AZ86</f>
        <v>#DIV/0!</v>
      </c>
      <c r="BB86" s="89" t="e">
        <f>AY86/AY84*100</f>
        <v>#DIV/0!</v>
      </c>
      <c r="BC86" s="89" t="e">
        <f>AZ86/AZ84*100</f>
        <v>#DIV/0!</v>
      </c>
      <c r="BD86" s="91"/>
      <c r="BE86" s="83"/>
      <c r="BF86" s="74" t="e">
        <f>BD86/BE86</f>
        <v>#DIV/0!</v>
      </c>
      <c r="BG86" s="89" t="e">
        <f>BD86/BD84*100</f>
        <v>#DIV/0!</v>
      </c>
      <c r="BH86" s="89" t="e">
        <f>BE86/BE84*100</f>
        <v>#DIV/0!</v>
      </c>
      <c r="BI86" s="91"/>
      <c r="BJ86" s="83"/>
      <c r="BK86" s="74" t="e">
        <f>BI86/BJ86</f>
        <v>#DIV/0!</v>
      </c>
      <c r="BL86" s="89" t="e">
        <f>BI86/BI84*100</f>
        <v>#DIV/0!</v>
      </c>
      <c r="BM86" s="89" t="e">
        <f>BJ86/BJ84*100</f>
        <v>#DIV/0!</v>
      </c>
      <c r="BN86" s="91"/>
      <c r="BO86" s="83"/>
      <c r="BP86" s="74" t="e">
        <f>BN86/BO86</f>
        <v>#DIV/0!</v>
      </c>
      <c r="BQ86" s="89" t="e">
        <f>BN86/BN84*100</f>
        <v>#DIV/0!</v>
      </c>
      <c r="BR86" s="89" t="e">
        <f>BO86/BO84*100</f>
        <v>#DIV/0!</v>
      </c>
    </row>
    <row r="87" spans="1:70" s="8" customFormat="1" ht="17.25" customHeight="1">
      <c r="A87" s="77"/>
      <c r="B87" s="78" t="s">
        <v>91</v>
      </c>
      <c r="C87" s="79"/>
      <c r="D87" s="79"/>
      <c r="E87" s="80"/>
      <c r="F87" s="81"/>
      <c r="G87" s="81"/>
      <c r="H87" s="81"/>
      <c r="I87" s="81"/>
      <c r="J87" s="83">
        <v>2464</v>
      </c>
      <c r="K87" s="83"/>
      <c r="L87" s="83">
        <v>2560</v>
      </c>
      <c r="M87" s="74">
        <f t="shared" si="13"/>
        <v>0.9625</v>
      </c>
      <c r="N87" s="89">
        <f>J87/J84*100</f>
        <v>16.60825020221084</v>
      </c>
      <c r="O87" s="79"/>
      <c r="P87" s="90">
        <v>2464</v>
      </c>
      <c r="Q87" s="90">
        <v>2560</v>
      </c>
      <c r="R87" s="74">
        <f>P87/Q87</f>
        <v>0.9625</v>
      </c>
      <c r="S87" s="89">
        <f>P87/P84*100</f>
        <v>16.53913276949926</v>
      </c>
      <c r="T87" s="79"/>
      <c r="U87" s="91">
        <v>2403</v>
      </c>
      <c r="V87" s="83">
        <v>2356</v>
      </c>
      <c r="W87" s="74">
        <f>U87/V87</f>
        <v>1.019949066213922</v>
      </c>
      <c r="X87" s="89">
        <f>U87/U84*100</f>
        <v>16.195996495248366</v>
      </c>
      <c r="Y87" s="89" t="e">
        <f>V87/V85*100</f>
        <v>#DIV/0!</v>
      </c>
      <c r="Z87" s="92">
        <v>2403</v>
      </c>
      <c r="AA87" s="92">
        <v>2356</v>
      </c>
      <c r="AB87" s="74"/>
      <c r="AC87" s="89">
        <f>U87/U84*100</f>
        <v>16.195996495248366</v>
      </c>
      <c r="AD87" s="89">
        <f>V87/V84*100</f>
        <v>16.310141917618555</v>
      </c>
      <c r="AE87" s="90">
        <v>2403</v>
      </c>
      <c r="AF87" s="90">
        <v>2356</v>
      </c>
      <c r="AG87" s="74">
        <f>AE87/AF87</f>
        <v>1.019949066213922</v>
      </c>
      <c r="AH87" s="89">
        <f>AE87/AE84*100</f>
        <v>16.240875912408757</v>
      </c>
      <c r="AI87" s="89">
        <f>AF87/AF84*100</f>
        <v>16.345219925072847</v>
      </c>
      <c r="AJ87" s="83"/>
      <c r="AK87" s="83"/>
      <c r="AL87" s="74" t="e">
        <f t="shared" si="12"/>
        <v>#DIV/0!</v>
      </c>
      <c r="AM87" s="89" t="e">
        <f>AJ87/AJ84*100</f>
        <v>#DIV/0!</v>
      </c>
      <c r="AN87" s="79"/>
      <c r="AO87" s="91"/>
      <c r="AP87" s="83"/>
      <c r="AQ87" s="74" t="e">
        <f>AO87/AP87</f>
        <v>#DIV/0!</v>
      </c>
      <c r="AR87" s="89" t="e">
        <f>AO87/AO84*100</f>
        <v>#DIV/0!</v>
      </c>
      <c r="AS87" s="79"/>
      <c r="AT87" s="91"/>
      <c r="AU87" s="83"/>
      <c r="AV87" s="74" t="e">
        <f>AT87/AU87</f>
        <v>#DIV/0!</v>
      </c>
      <c r="AW87" s="89" t="e">
        <f>AT87/AT84*100</f>
        <v>#DIV/0!</v>
      </c>
      <c r="AX87" s="89" t="e">
        <f>AU87/AU84*100</f>
        <v>#DIV/0!</v>
      </c>
      <c r="AY87" s="91"/>
      <c r="AZ87" s="83"/>
      <c r="BA87" s="74" t="e">
        <f>AY87/AZ87</f>
        <v>#DIV/0!</v>
      </c>
      <c r="BB87" s="89" t="e">
        <f>AY87/AY84*100</f>
        <v>#DIV/0!</v>
      </c>
      <c r="BC87" s="89" t="e">
        <f>AZ87/AZ84*100</f>
        <v>#DIV/0!</v>
      </c>
      <c r="BD87" s="91"/>
      <c r="BE87" s="83"/>
      <c r="BF87" s="74" t="e">
        <f>BD87/BE87</f>
        <v>#DIV/0!</v>
      </c>
      <c r="BG87" s="89" t="e">
        <f>BD87/BD84*100</f>
        <v>#DIV/0!</v>
      </c>
      <c r="BH87" s="89" t="e">
        <f>BE87/BE84*100</f>
        <v>#DIV/0!</v>
      </c>
      <c r="BI87" s="91"/>
      <c r="BJ87" s="83"/>
      <c r="BK87" s="74" t="e">
        <f>BI87/BJ87</f>
        <v>#DIV/0!</v>
      </c>
      <c r="BL87" s="89" t="e">
        <f>BI87/BI84*100</f>
        <v>#DIV/0!</v>
      </c>
      <c r="BM87" s="89" t="e">
        <f>BJ87/BJ84*100</f>
        <v>#DIV/0!</v>
      </c>
      <c r="BN87" s="91"/>
      <c r="BO87" s="83"/>
      <c r="BP87" s="74" t="e">
        <f>BN87/BO87</f>
        <v>#DIV/0!</v>
      </c>
      <c r="BQ87" s="89" t="e">
        <f>BN87/BN84*100</f>
        <v>#DIV/0!</v>
      </c>
      <c r="BR87" s="89" t="e">
        <f>BO87/BO84*100</f>
        <v>#DIV/0!</v>
      </c>
    </row>
    <row r="88" spans="1:70" s="8" customFormat="1" ht="17.25" customHeight="1">
      <c r="A88" s="77"/>
      <c r="B88" s="78" t="s">
        <v>92</v>
      </c>
      <c r="C88" s="79"/>
      <c r="D88" s="79"/>
      <c r="E88" s="80"/>
      <c r="F88" s="81"/>
      <c r="G88" s="81"/>
      <c r="H88" s="81"/>
      <c r="I88" s="81"/>
      <c r="J88" s="83">
        <v>100</v>
      </c>
      <c r="K88" s="83"/>
      <c r="L88" s="83">
        <v>100</v>
      </c>
      <c r="M88" s="74">
        <f t="shared" si="13"/>
        <v>1</v>
      </c>
      <c r="N88" s="89">
        <f>J88/J84*100</f>
        <v>0.6740361283364789</v>
      </c>
      <c r="O88" s="79"/>
      <c r="P88" s="90">
        <v>100</v>
      </c>
      <c r="Q88" s="90">
        <v>100</v>
      </c>
      <c r="R88" s="74">
        <f>P88/Q88</f>
        <v>1</v>
      </c>
      <c r="S88" s="89">
        <f>P88/P84*100</f>
        <v>0.6712310377231843</v>
      </c>
      <c r="T88" s="79"/>
      <c r="U88" s="91">
        <v>100</v>
      </c>
      <c r="V88" s="83">
        <v>100</v>
      </c>
      <c r="W88" s="74">
        <f>U88/V88</f>
        <v>1</v>
      </c>
      <c r="X88" s="89">
        <f>U88/U86*100</f>
        <v>0.8107669855683477</v>
      </c>
      <c r="Y88" s="89">
        <f>V88/V86*100</f>
        <v>0.8340979230961715</v>
      </c>
      <c r="Z88" s="92">
        <v>100</v>
      </c>
      <c r="AA88" s="92">
        <v>100</v>
      </c>
      <c r="AB88" s="74"/>
      <c r="AC88" s="89">
        <f>U88/U84*100</f>
        <v>0.6739906989283548</v>
      </c>
      <c r="AD88" s="89">
        <f>V88/V84*100</f>
        <v>0.6922810661128418</v>
      </c>
      <c r="AE88" s="90">
        <v>100</v>
      </c>
      <c r="AF88" s="90">
        <v>100</v>
      </c>
      <c r="AG88" s="74">
        <f>AE88/AF88</f>
        <v>1</v>
      </c>
      <c r="AH88" s="89">
        <f>AE88/AE84*100</f>
        <v>0.6758583400919167</v>
      </c>
      <c r="AI88" s="89">
        <f>AF88/AF84*100</f>
        <v>0.6937699458859442</v>
      </c>
      <c r="AJ88" s="83"/>
      <c r="AK88" s="83"/>
      <c r="AL88" s="74" t="e">
        <f t="shared" si="12"/>
        <v>#DIV/0!</v>
      </c>
      <c r="AM88" s="89" t="e">
        <f>AJ88/AJ84*100</f>
        <v>#DIV/0!</v>
      </c>
      <c r="AN88" s="79"/>
      <c r="AO88" s="91"/>
      <c r="AP88" s="83"/>
      <c r="AQ88" s="74" t="e">
        <f>AO88/AP88</f>
        <v>#DIV/0!</v>
      </c>
      <c r="AR88" s="89" t="e">
        <f>AO88/AO84*100</f>
        <v>#DIV/0!</v>
      </c>
      <c r="AS88" s="79"/>
      <c r="AT88" s="91"/>
      <c r="AU88" s="83"/>
      <c r="AV88" s="74" t="e">
        <f>AT88/AU88</f>
        <v>#DIV/0!</v>
      </c>
      <c r="AW88" s="89" t="e">
        <f>AT88/AT84*100</f>
        <v>#DIV/0!</v>
      </c>
      <c r="AX88" s="89" t="e">
        <f>AU88/AU84*100</f>
        <v>#DIV/0!</v>
      </c>
      <c r="AY88" s="91"/>
      <c r="AZ88" s="83"/>
      <c r="BA88" s="74" t="e">
        <f>AY88/AZ88</f>
        <v>#DIV/0!</v>
      </c>
      <c r="BB88" s="89" t="e">
        <f>AY88/AY84*100</f>
        <v>#DIV/0!</v>
      </c>
      <c r="BC88" s="89" t="e">
        <f>AZ88/AZ84*100</f>
        <v>#DIV/0!</v>
      </c>
      <c r="BD88" s="91"/>
      <c r="BE88" s="83"/>
      <c r="BF88" s="74" t="e">
        <f>BD88/BE88</f>
        <v>#DIV/0!</v>
      </c>
      <c r="BG88" s="89" t="e">
        <f>BD88/BD84*100</f>
        <v>#DIV/0!</v>
      </c>
      <c r="BH88" s="89" t="e">
        <f>BE88/BE84*100</f>
        <v>#DIV/0!</v>
      </c>
      <c r="BI88" s="91"/>
      <c r="BJ88" s="83"/>
      <c r="BK88" s="74" t="e">
        <f>BI88/BJ88</f>
        <v>#DIV/0!</v>
      </c>
      <c r="BL88" s="89" t="e">
        <f>BI88/BI84*100</f>
        <v>#DIV/0!</v>
      </c>
      <c r="BM88" s="89" t="e">
        <f>BJ88/BJ84*100</f>
        <v>#DIV/0!</v>
      </c>
      <c r="BN88" s="91"/>
      <c r="BO88" s="83"/>
      <c r="BP88" s="74" t="e">
        <f>BN88/BO88</f>
        <v>#DIV/0!</v>
      </c>
      <c r="BQ88" s="89" t="e">
        <f>BN88/BN84*100</f>
        <v>#DIV/0!</v>
      </c>
      <c r="BR88" s="89" t="e">
        <f>BO88/BO84*100</f>
        <v>#DIV/0!</v>
      </c>
    </row>
    <row r="89" spans="1:70" s="8" customFormat="1" ht="17.25" customHeight="1">
      <c r="A89" s="67">
        <v>6</v>
      </c>
      <c r="B89" s="68" t="s">
        <v>93</v>
      </c>
      <c r="C89" s="69"/>
      <c r="D89" s="69"/>
      <c r="E89" s="70"/>
      <c r="F89" s="71"/>
      <c r="G89" s="71"/>
      <c r="H89" s="71"/>
      <c r="I89" s="71"/>
      <c r="J89" s="73">
        <f>SUM(J91:J93)</f>
        <v>220273.5</v>
      </c>
      <c r="K89" s="73">
        <f>SUM(K91:K93)</f>
        <v>0</v>
      </c>
      <c r="L89" s="73">
        <f>SUM(L91:L93)</f>
        <v>175957</v>
      </c>
      <c r="M89" s="74">
        <f t="shared" si="13"/>
        <v>1.251859829390135</v>
      </c>
      <c r="N89" s="93"/>
      <c r="O89" s="69"/>
      <c r="P89" s="73">
        <f>SUM(P91:P93)</f>
        <v>441357.30000000005</v>
      </c>
      <c r="Q89" s="73">
        <f>SUM(Q91:Q93)</f>
        <v>353830.4</v>
      </c>
      <c r="R89" s="74">
        <f>P89/Q89</f>
        <v>1.247369643761531</v>
      </c>
      <c r="S89" s="93"/>
      <c r="T89" s="69"/>
      <c r="U89" s="73">
        <f>SUM(U91:U93)</f>
        <v>665074</v>
      </c>
      <c r="V89" s="73">
        <f>SUM(V91:V93)</f>
        <v>540335.8</v>
      </c>
      <c r="W89" s="74">
        <f>U89/V89</f>
        <v>1.2308531102325626</v>
      </c>
      <c r="X89" s="93">
        <f>SUM(X91:X93)</f>
        <v>100.00000000000001</v>
      </c>
      <c r="Y89" s="93">
        <f>SUM(Y91:Y93)</f>
        <v>99.99999999999999</v>
      </c>
      <c r="Z89" s="73">
        <f>SUM(Z91:Z93)</f>
        <v>897409</v>
      </c>
      <c r="AA89" s="73">
        <f>SUM(AA91:AA93)</f>
        <v>719960.2000000001</v>
      </c>
      <c r="AB89" s="74">
        <f>Z89/AA89</f>
        <v>1.246470290996641</v>
      </c>
      <c r="AC89" s="93">
        <f>SUM(AC91:AC93)</f>
        <v>74.11046691085113</v>
      </c>
      <c r="AD89" s="93">
        <f>SUM(AD91:AD93)</f>
        <v>75.050787529644</v>
      </c>
      <c r="AE89" s="73">
        <f>SUM(AE91:AE93)</f>
        <v>1132644.55</v>
      </c>
      <c r="AF89" s="73">
        <f>SUM(AF91:AF93)</f>
        <v>915696</v>
      </c>
      <c r="AG89" s="74">
        <f>AE89/AF89</f>
        <v>1.2369220243399557</v>
      </c>
      <c r="AH89" s="93">
        <f>SUM(AH91:AH93)</f>
        <v>100</v>
      </c>
      <c r="AI89" s="93">
        <f>SUM(AI91:AI93)</f>
        <v>99.99999999999999</v>
      </c>
      <c r="AJ89" s="73"/>
      <c r="AK89" s="73"/>
      <c r="AL89" s="74" t="e">
        <f t="shared" si="12"/>
        <v>#DIV/0!</v>
      </c>
      <c r="AM89" s="93"/>
      <c r="AN89" s="69"/>
      <c r="AO89" s="73">
        <f>SUM(AO91:AO93)</f>
        <v>0</v>
      </c>
      <c r="AP89" s="73">
        <f>SUM(AP91:AP93)</f>
        <v>0</v>
      </c>
      <c r="AQ89" s="74" t="e">
        <f>AO89/AP89</f>
        <v>#DIV/0!</v>
      </c>
      <c r="AR89" s="93"/>
      <c r="AS89" s="69"/>
      <c r="AT89" s="73">
        <f>SUM(AT91:AT93)</f>
        <v>0</v>
      </c>
      <c r="AU89" s="73">
        <f>SUM(AU91:AU93)</f>
        <v>0</v>
      </c>
      <c r="AV89" s="74" t="e">
        <f>AT89/AU89</f>
        <v>#DIV/0!</v>
      </c>
      <c r="AW89" s="93" t="e">
        <f>SUM(AW91:AW93)</f>
        <v>#DIV/0!</v>
      </c>
      <c r="AX89" s="93" t="e">
        <f>SUM(AX91:AX93)</f>
        <v>#DIV/0!</v>
      </c>
      <c r="AY89" s="73">
        <f>SUM(AY91:AY93)</f>
        <v>0</v>
      </c>
      <c r="AZ89" s="73">
        <f>SUM(AZ91:AZ93)</f>
        <v>0</v>
      </c>
      <c r="BA89" s="74" t="e">
        <f>AY89/AZ89</f>
        <v>#DIV/0!</v>
      </c>
      <c r="BB89" s="93" t="e">
        <f>SUM(BB91:BB93)</f>
        <v>#DIV/0!</v>
      </c>
      <c r="BC89" s="93" t="e">
        <f>SUM(BC91:BC93)</f>
        <v>#DIV/0!</v>
      </c>
      <c r="BD89" s="73">
        <f>SUM(BD91:BD93)</f>
        <v>0</v>
      </c>
      <c r="BE89" s="73">
        <f>SUM(BE91:BE93)</f>
        <v>0</v>
      </c>
      <c r="BF89" s="74" t="e">
        <f>BD89/BE89</f>
        <v>#DIV/0!</v>
      </c>
      <c r="BG89" s="93" t="e">
        <f>SUM(BG91:BG93)</f>
        <v>#DIV/0!</v>
      </c>
      <c r="BH89" s="93" t="e">
        <f>SUM(BH91:BH93)</f>
        <v>#DIV/0!</v>
      </c>
      <c r="BI89" s="73">
        <f>SUM(BI91:BI93)</f>
        <v>0</v>
      </c>
      <c r="BJ89" s="73">
        <f>SUM(BJ91:BJ93)</f>
        <v>0</v>
      </c>
      <c r="BK89" s="74" t="e">
        <f>BI89/BJ89</f>
        <v>#DIV/0!</v>
      </c>
      <c r="BL89" s="93" t="e">
        <f>SUM(BL91:BL93)</f>
        <v>#DIV/0!</v>
      </c>
      <c r="BM89" s="93" t="e">
        <f>SUM(BM91:BM93)</f>
        <v>#DIV/0!</v>
      </c>
      <c r="BN89" s="73">
        <f>SUM(BN91:BN93)</f>
        <v>0</v>
      </c>
      <c r="BO89" s="73">
        <f>SUM(BO91:BO93)</f>
        <v>0</v>
      </c>
      <c r="BP89" s="74" t="e">
        <f>BN89/BO89</f>
        <v>#DIV/0!</v>
      </c>
      <c r="BQ89" s="93" t="e">
        <f>SUM(BQ91:BQ93)</f>
        <v>#DIV/0!</v>
      </c>
      <c r="BR89" s="93" t="e">
        <f>SUM(BR91:BR93)</f>
        <v>#DIV/0!</v>
      </c>
    </row>
    <row r="90" spans="1:70" ht="14.25" customHeight="1">
      <c r="A90" s="94"/>
      <c r="B90" s="78" t="s">
        <v>89</v>
      </c>
      <c r="C90" s="55"/>
      <c r="D90" s="55"/>
      <c r="E90" s="95"/>
      <c r="F90" s="96"/>
      <c r="G90" s="96"/>
      <c r="H90" s="96"/>
      <c r="I90" s="96"/>
      <c r="J90" s="97"/>
      <c r="K90" s="98"/>
      <c r="L90" s="98"/>
      <c r="M90" s="74"/>
      <c r="N90" s="99"/>
      <c r="O90" s="55"/>
      <c r="P90" s="97"/>
      <c r="Q90" s="98"/>
      <c r="R90" s="85"/>
      <c r="S90" s="99"/>
      <c r="T90" s="55"/>
      <c r="U90" s="97"/>
      <c r="V90" s="98"/>
      <c r="W90" s="85"/>
      <c r="X90" s="99"/>
      <c r="Y90" s="55"/>
      <c r="Z90" s="100"/>
      <c r="AA90" s="98"/>
      <c r="AB90" s="85"/>
      <c r="AC90" s="99"/>
      <c r="AD90" s="55"/>
      <c r="AE90" s="97"/>
      <c r="AF90" s="98"/>
      <c r="AG90" s="85"/>
      <c r="AH90" s="99"/>
      <c r="AI90" s="55"/>
      <c r="AJ90" s="97"/>
      <c r="AK90" s="98"/>
      <c r="AL90" s="74" t="e">
        <f t="shared" si="12"/>
        <v>#DIV/0!</v>
      </c>
      <c r="AM90" s="99"/>
      <c r="AN90" s="55"/>
      <c r="AO90" s="97"/>
      <c r="AP90" s="98"/>
      <c r="AQ90" s="85"/>
      <c r="AR90" s="99"/>
      <c r="AS90" s="55"/>
      <c r="AT90" s="97"/>
      <c r="AU90" s="98"/>
      <c r="AV90" s="85"/>
      <c r="AW90" s="99"/>
      <c r="AX90" s="55"/>
      <c r="AY90" s="97"/>
      <c r="AZ90" s="98"/>
      <c r="BA90" s="85"/>
      <c r="BB90" s="99"/>
      <c r="BC90" s="55"/>
      <c r="BD90" s="97"/>
      <c r="BE90" s="98"/>
      <c r="BF90" s="85"/>
      <c r="BG90" s="99"/>
      <c r="BH90" s="55"/>
      <c r="BI90" s="97"/>
      <c r="BJ90" s="98"/>
      <c r="BK90" s="85"/>
      <c r="BL90" s="99"/>
      <c r="BM90" s="55"/>
      <c r="BN90" s="97"/>
      <c r="BO90" s="98"/>
      <c r="BP90" s="85"/>
      <c r="BQ90" s="99"/>
      <c r="BR90" s="55"/>
    </row>
    <row r="91" spans="1:70" ht="14.25" customHeight="1">
      <c r="A91" s="94"/>
      <c r="B91" s="78" t="s">
        <v>90</v>
      </c>
      <c r="C91" s="55"/>
      <c r="D91" s="55"/>
      <c r="E91" s="95"/>
      <c r="F91" s="96"/>
      <c r="G91" s="96"/>
      <c r="H91" s="96"/>
      <c r="I91" s="96"/>
      <c r="J91" s="98">
        <v>190624.4</v>
      </c>
      <c r="K91" s="98"/>
      <c r="L91" s="98">
        <v>150111.7</v>
      </c>
      <c r="M91" s="74">
        <f t="shared" si="13"/>
        <v>1.2698836932764066</v>
      </c>
      <c r="N91" s="99">
        <f>J91/J89*100</f>
        <v>86.53986975283</v>
      </c>
      <c r="O91" s="55"/>
      <c r="P91" s="98">
        <v>382052.4</v>
      </c>
      <c r="Q91" s="98">
        <v>302076</v>
      </c>
      <c r="R91" s="74">
        <f>P91/Q91</f>
        <v>1.2647558892464148</v>
      </c>
      <c r="S91" s="99">
        <f>P91/P89*100</f>
        <v>86.5630635315197</v>
      </c>
      <c r="T91" s="55"/>
      <c r="U91" s="98">
        <v>579440.4</v>
      </c>
      <c r="V91" s="98">
        <v>469029.9</v>
      </c>
      <c r="W91" s="74">
        <f>U91/V91</f>
        <v>1.2354018368551771</v>
      </c>
      <c r="X91" s="99">
        <f>U91/U89*100</f>
        <v>87.12419971311463</v>
      </c>
      <c r="Y91" s="99">
        <f>V91/V89*100</f>
        <v>86.80341002761615</v>
      </c>
      <c r="Z91" s="101">
        <v>783214</v>
      </c>
      <c r="AA91" s="101">
        <v>625278.9</v>
      </c>
      <c r="AB91" s="74"/>
      <c r="AC91" s="99">
        <f>U91/Z89*100</f>
        <v>64.56815119973167</v>
      </c>
      <c r="AD91" s="99">
        <f>V91/AA89*100</f>
        <v>65.1466428283119</v>
      </c>
      <c r="AE91" s="98">
        <v>989897.2</v>
      </c>
      <c r="AF91" s="98">
        <v>797339</v>
      </c>
      <c r="AG91" s="74">
        <f>AE91/AF91</f>
        <v>1.241501042843759</v>
      </c>
      <c r="AH91" s="99">
        <f>AE91/AE89*100</f>
        <v>87.39698610654155</v>
      </c>
      <c r="AI91" s="99">
        <f>AF91/AF89*100</f>
        <v>87.07464049204103</v>
      </c>
      <c r="AJ91" s="98"/>
      <c r="AK91" s="98"/>
      <c r="AL91" s="74" t="e">
        <f t="shared" si="12"/>
        <v>#DIV/0!</v>
      </c>
      <c r="AM91" s="99" t="e">
        <f>AJ91/AJ89*100</f>
        <v>#DIV/0!</v>
      </c>
      <c r="AN91" s="55"/>
      <c r="AO91" s="98"/>
      <c r="AP91" s="98"/>
      <c r="AQ91" s="74" t="e">
        <f>AO91/AP91</f>
        <v>#DIV/0!</v>
      </c>
      <c r="AR91" s="99" t="e">
        <f>AO91/AO89*100</f>
        <v>#DIV/0!</v>
      </c>
      <c r="AS91" s="55"/>
      <c r="AT91" s="98"/>
      <c r="AU91" s="98"/>
      <c r="AV91" s="74" t="e">
        <f>AT91/AU91</f>
        <v>#DIV/0!</v>
      </c>
      <c r="AW91" s="99" t="e">
        <f>AT91/AT89*100</f>
        <v>#DIV/0!</v>
      </c>
      <c r="AX91" s="99" t="e">
        <f>AU91/AU89*100</f>
        <v>#DIV/0!</v>
      </c>
      <c r="AY91" s="98"/>
      <c r="AZ91" s="98"/>
      <c r="BA91" s="74" t="e">
        <f>AY91/AZ91</f>
        <v>#DIV/0!</v>
      </c>
      <c r="BB91" s="99" t="e">
        <f>AY91/AY89*100</f>
        <v>#DIV/0!</v>
      </c>
      <c r="BC91" s="99" t="e">
        <f>AZ91/AZ89*100</f>
        <v>#DIV/0!</v>
      </c>
      <c r="BD91" s="98"/>
      <c r="BE91" s="98"/>
      <c r="BF91" s="74" t="e">
        <f>BD91/BE91</f>
        <v>#DIV/0!</v>
      </c>
      <c r="BG91" s="99" t="e">
        <f>BD91/BD89*100</f>
        <v>#DIV/0!</v>
      </c>
      <c r="BH91" s="99" t="e">
        <f>BE91/BE89*100</f>
        <v>#DIV/0!</v>
      </c>
      <c r="BI91" s="98"/>
      <c r="BJ91" s="98"/>
      <c r="BK91" s="74" t="e">
        <f>BI91/BJ91</f>
        <v>#DIV/0!</v>
      </c>
      <c r="BL91" s="99" t="e">
        <f>BI91/BI89*100</f>
        <v>#DIV/0!</v>
      </c>
      <c r="BM91" s="99" t="e">
        <f>BJ91/BJ89*100</f>
        <v>#DIV/0!</v>
      </c>
      <c r="BN91" s="98"/>
      <c r="BO91" s="98"/>
      <c r="BP91" s="74" t="e">
        <f>BN91/BO91</f>
        <v>#DIV/0!</v>
      </c>
      <c r="BQ91" s="99" t="e">
        <f>BN91/BN89*100</f>
        <v>#DIV/0!</v>
      </c>
      <c r="BR91" s="99" t="e">
        <f>BO91/BO89*100</f>
        <v>#DIV/0!</v>
      </c>
    </row>
    <row r="92" spans="1:70" ht="14.25" customHeight="1">
      <c r="A92" s="94"/>
      <c r="B92" s="78" t="s">
        <v>91</v>
      </c>
      <c r="C92" s="55"/>
      <c r="D92" s="55"/>
      <c r="E92" s="95"/>
      <c r="F92" s="96"/>
      <c r="G92" s="96"/>
      <c r="H92" s="96"/>
      <c r="I92" s="96"/>
      <c r="J92" s="98">
        <v>28383.4</v>
      </c>
      <c r="K92" s="98"/>
      <c r="L92" s="98">
        <v>24591.3</v>
      </c>
      <c r="M92" s="74">
        <f t="shared" si="13"/>
        <v>1.154204942398328</v>
      </c>
      <c r="N92" s="99">
        <f>J92/J89*100</f>
        <v>12.885526402404285</v>
      </c>
      <c r="O92" s="55"/>
      <c r="P92" s="98">
        <v>56771.5</v>
      </c>
      <c r="Q92" s="98">
        <v>49233</v>
      </c>
      <c r="R92" s="74">
        <f>P92/Q92</f>
        <v>1.1531188430524242</v>
      </c>
      <c r="S92" s="99">
        <f>P92/P89*100</f>
        <v>12.862934407111878</v>
      </c>
      <c r="T92" s="55"/>
      <c r="U92" s="98">
        <v>81819.6</v>
      </c>
      <c r="V92" s="98">
        <v>67521.6</v>
      </c>
      <c r="W92" s="74">
        <f>U92/V92</f>
        <v>1.211754460794768</v>
      </c>
      <c r="X92" s="99">
        <f>U92/U89*100</f>
        <v>12.302330267007882</v>
      </c>
      <c r="Y92" s="99">
        <f>V92/V89*100</f>
        <v>12.496229196732846</v>
      </c>
      <c r="Z92" s="101">
        <v>109103</v>
      </c>
      <c r="AA92" s="101">
        <v>89634.3</v>
      </c>
      <c r="AB92" s="74"/>
      <c r="AC92" s="99">
        <f>U92/Z89*100</f>
        <v>9.1173144017945</v>
      </c>
      <c r="AD92" s="99">
        <f>V92/AA89*100</f>
        <v>9.378518423657308</v>
      </c>
      <c r="AE92" s="98">
        <v>136382.3</v>
      </c>
      <c r="AF92" s="98">
        <v>112047</v>
      </c>
      <c r="AG92" s="74">
        <f>AE92/AF92</f>
        <v>1.2171883227574143</v>
      </c>
      <c r="AH92" s="99">
        <f>AE92/AE89*100</f>
        <v>12.041050301261768</v>
      </c>
      <c r="AI92" s="99">
        <f>AF92/AF89*100</f>
        <v>12.236266184410546</v>
      </c>
      <c r="AJ92" s="98"/>
      <c r="AK92" s="98"/>
      <c r="AL92" s="74" t="e">
        <f t="shared" si="12"/>
        <v>#DIV/0!</v>
      </c>
      <c r="AM92" s="99" t="e">
        <f>AJ92/AJ89*100</f>
        <v>#DIV/0!</v>
      </c>
      <c r="AN92" s="55"/>
      <c r="AO92" s="98"/>
      <c r="AP92" s="98"/>
      <c r="AQ92" s="74" t="e">
        <f>AO92/AP92</f>
        <v>#DIV/0!</v>
      </c>
      <c r="AR92" s="99" t="e">
        <f>AO92/AO89*100</f>
        <v>#DIV/0!</v>
      </c>
      <c r="AS92" s="55"/>
      <c r="AT92" s="98"/>
      <c r="AU92" s="98"/>
      <c r="AV92" s="74" t="e">
        <f>AT92/AU92</f>
        <v>#DIV/0!</v>
      </c>
      <c r="AW92" s="99" t="e">
        <f>AT92/AT89*100</f>
        <v>#DIV/0!</v>
      </c>
      <c r="AX92" s="99" t="e">
        <f>AU92/AU89*100</f>
        <v>#DIV/0!</v>
      </c>
      <c r="AY92" s="98"/>
      <c r="AZ92" s="98"/>
      <c r="BA92" s="74" t="e">
        <f>AY92/AZ92</f>
        <v>#DIV/0!</v>
      </c>
      <c r="BB92" s="99" t="e">
        <f>AY92/AY89*100</f>
        <v>#DIV/0!</v>
      </c>
      <c r="BC92" s="99" t="e">
        <f>AZ92/AZ89*100</f>
        <v>#DIV/0!</v>
      </c>
      <c r="BD92" s="98"/>
      <c r="BE92" s="98"/>
      <c r="BF92" s="74" t="e">
        <f>BD92/BE92</f>
        <v>#DIV/0!</v>
      </c>
      <c r="BG92" s="99" t="e">
        <f>BD92/BD89*100</f>
        <v>#DIV/0!</v>
      </c>
      <c r="BH92" s="99" t="e">
        <f>BE92/BE89*100</f>
        <v>#DIV/0!</v>
      </c>
      <c r="BI92" s="98"/>
      <c r="BJ92" s="98"/>
      <c r="BK92" s="74" t="e">
        <f>BI92/BJ92</f>
        <v>#DIV/0!</v>
      </c>
      <c r="BL92" s="99" t="e">
        <f>BI92/BI89*100</f>
        <v>#DIV/0!</v>
      </c>
      <c r="BM92" s="99" t="e">
        <f>BJ92/BJ89*100</f>
        <v>#DIV/0!</v>
      </c>
      <c r="BN92" s="98"/>
      <c r="BO92" s="98"/>
      <c r="BP92" s="74" t="e">
        <f>BN92/BO92</f>
        <v>#DIV/0!</v>
      </c>
      <c r="BQ92" s="99" t="e">
        <f>BN92/BN89*100</f>
        <v>#DIV/0!</v>
      </c>
      <c r="BR92" s="99" t="e">
        <f>BO92/BO89*100</f>
        <v>#DIV/0!</v>
      </c>
    </row>
    <row r="93" spans="1:70" ht="14.25" customHeight="1">
      <c r="A93" s="94"/>
      <c r="B93" s="78" t="s">
        <v>92</v>
      </c>
      <c r="C93" s="55"/>
      <c r="D93" s="55"/>
      <c r="E93" s="95"/>
      <c r="F93" s="96"/>
      <c r="G93" s="96"/>
      <c r="H93" s="96"/>
      <c r="I93" s="96"/>
      <c r="J93" s="98">
        <v>1265.7</v>
      </c>
      <c r="K93" s="98"/>
      <c r="L93" s="98">
        <v>1254</v>
      </c>
      <c r="M93" s="74">
        <f t="shared" si="13"/>
        <v>1.0093301435406699</v>
      </c>
      <c r="N93" s="99">
        <f>J93/J89*100</f>
        <v>0.5746038447657117</v>
      </c>
      <c r="O93" s="55"/>
      <c r="P93" s="98">
        <v>2533.4</v>
      </c>
      <c r="Q93" s="98">
        <v>2521.4</v>
      </c>
      <c r="R93" s="74">
        <f>P93/Q93</f>
        <v>1.0047592607281668</v>
      </c>
      <c r="S93" s="99">
        <f>P93/P89*100</f>
        <v>0.5740020613684196</v>
      </c>
      <c r="T93" s="55"/>
      <c r="U93" s="98">
        <v>3814</v>
      </c>
      <c r="V93" s="98">
        <v>3784.3</v>
      </c>
      <c r="W93" s="74">
        <f>U93/V93</f>
        <v>1.0078482149935257</v>
      </c>
      <c r="X93" s="99">
        <f>U93/U89*100</f>
        <v>0.5734700198774872</v>
      </c>
      <c r="Y93" s="99">
        <f>V93/V89*100</f>
        <v>0.7003607756509933</v>
      </c>
      <c r="Z93" s="101">
        <v>5092</v>
      </c>
      <c r="AA93" s="101">
        <v>5047</v>
      </c>
      <c r="AB93" s="74"/>
      <c r="AC93" s="99">
        <f>U93/Z89*100</f>
        <v>0.42500130932495667</v>
      </c>
      <c r="AD93" s="99">
        <f>V93/AA89*100</f>
        <v>0.5256262776747938</v>
      </c>
      <c r="AE93" s="98">
        <v>6365.05</v>
      </c>
      <c r="AF93" s="98">
        <v>6310</v>
      </c>
      <c r="AG93" s="74">
        <f>AE93/AF93</f>
        <v>1.0087242472266245</v>
      </c>
      <c r="AH93" s="99">
        <f>AE93/AE89*100</f>
        <v>0.561963592196687</v>
      </c>
      <c r="AI93" s="99">
        <f>AF93/AF89*100</f>
        <v>0.6890933235484266</v>
      </c>
      <c r="AJ93" s="98"/>
      <c r="AK93" s="98">
        <v>7545.1</v>
      </c>
      <c r="AL93" s="74">
        <f t="shared" si="12"/>
        <v>0</v>
      </c>
      <c r="AM93" s="99" t="e">
        <f>AJ93/AJ89*100</f>
        <v>#DIV/0!</v>
      </c>
      <c r="AN93" s="55"/>
      <c r="AO93" s="98"/>
      <c r="AP93" s="98"/>
      <c r="AQ93" s="74" t="e">
        <f>AO93/AP93</f>
        <v>#DIV/0!</v>
      </c>
      <c r="AR93" s="99" t="e">
        <f>AO93/AO89*100</f>
        <v>#DIV/0!</v>
      </c>
      <c r="AS93" s="55"/>
      <c r="AT93" s="98"/>
      <c r="AU93" s="98"/>
      <c r="AV93" s="74" t="e">
        <f>AT93/AU93</f>
        <v>#DIV/0!</v>
      </c>
      <c r="AW93" s="99" t="e">
        <f>AT93/AT89*100</f>
        <v>#DIV/0!</v>
      </c>
      <c r="AX93" s="99" t="e">
        <f>AU93/AU89*100</f>
        <v>#DIV/0!</v>
      </c>
      <c r="AY93" s="98"/>
      <c r="AZ93" s="98"/>
      <c r="BA93" s="74" t="e">
        <f>AY93/AZ93</f>
        <v>#DIV/0!</v>
      </c>
      <c r="BB93" s="99" t="e">
        <f>AY93/AY89*100</f>
        <v>#DIV/0!</v>
      </c>
      <c r="BC93" s="99" t="e">
        <f>AZ93/AZ89*100</f>
        <v>#DIV/0!</v>
      </c>
      <c r="BD93" s="98"/>
      <c r="BE93" s="98"/>
      <c r="BF93" s="74" t="e">
        <f>BD93/BE93</f>
        <v>#DIV/0!</v>
      </c>
      <c r="BG93" s="99" t="e">
        <f>BD93/BD89*100</f>
        <v>#DIV/0!</v>
      </c>
      <c r="BH93" s="99" t="e">
        <f>BE93/BE89*100</f>
        <v>#DIV/0!</v>
      </c>
      <c r="BI93" s="98"/>
      <c r="BJ93" s="98"/>
      <c r="BK93" s="74" t="e">
        <f>BI93/BJ93</f>
        <v>#DIV/0!</v>
      </c>
      <c r="BL93" s="99" t="e">
        <f>BI93/BI89*100</f>
        <v>#DIV/0!</v>
      </c>
      <c r="BM93" s="99" t="e">
        <f>BJ93/BJ89*100</f>
        <v>#DIV/0!</v>
      </c>
      <c r="BN93" s="98"/>
      <c r="BO93" s="98"/>
      <c r="BP93" s="74" t="e">
        <f>BN93/BO93</f>
        <v>#DIV/0!</v>
      </c>
      <c r="BQ93" s="99" t="e">
        <f>BN93/BN89*100</f>
        <v>#DIV/0!</v>
      </c>
      <c r="BR93" s="99" t="e">
        <f>BO93/BO89*100</f>
        <v>#DIV/0!</v>
      </c>
    </row>
    <row r="94" spans="1:70" ht="21.75" customHeight="1">
      <c r="A94" s="67">
        <v>7</v>
      </c>
      <c r="B94" s="68" t="s">
        <v>94</v>
      </c>
      <c r="C94" s="69"/>
      <c r="D94" s="69"/>
      <c r="E94" s="70"/>
      <c r="F94" s="71"/>
      <c r="G94" s="71"/>
      <c r="H94" s="71"/>
      <c r="I94" s="71"/>
      <c r="J94" s="73"/>
      <c r="K94" s="73"/>
      <c r="L94" s="73"/>
      <c r="M94" s="74"/>
      <c r="N94" s="69"/>
      <c r="O94" s="69"/>
      <c r="P94" s="73">
        <f>P89/P84/2*1000</f>
        <v>14812.635924285141</v>
      </c>
      <c r="Q94" s="73">
        <f>Q89/Q84/2*1000</f>
        <v>12100.075234252105</v>
      </c>
      <c r="R94" s="74">
        <f>P94/Q94</f>
        <v>1.2241771755562723</v>
      </c>
      <c r="S94" s="69"/>
      <c r="T94" s="69"/>
      <c r="U94" s="73">
        <f>U89/U84/3*1000</f>
        <v>14941.78966996922</v>
      </c>
      <c r="V94" s="73">
        <f>V89/V84/3*1000</f>
        <v>12468.808122764509</v>
      </c>
      <c r="W94" s="74">
        <f>U94/V94</f>
        <v>1.1983334351492463</v>
      </c>
      <c r="X94" s="69"/>
      <c r="Y94" s="69"/>
      <c r="Z94" s="73">
        <f>Z89/Z84/4*1000</f>
        <v>15152.79278670809</v>
      </c>
      <c r="AA94" s="73">
        <f>AA89/AA84/4*1000</f>
        <v>12463.82175749602</v>
      </c>
      <c r="AB94" s="74">
        <f>Z94/AA94</f>
        <v>1.2157420959261442</v>
      </c>
      <c r="AC94" s="69"/>
      <c r="AD94" s="69"/>
      <c r="AE94" s="73">
        <f>AE89/AE84/5*1000</f>
        <v>15310.14530954312</v>
      </c>
      <c r="AF94" s="73">
        <f>AF89/AF84/5*1000</f>
        <v>12705.647287359512</v>
      </c>
      <c r="AG94" s="74">
        <f>AE94/AF94</f>
        <v>1.2049874330113626</v>
      </c>
      <c r="AH94" s="69"/>
      <c r="AI94" s="69"/>
      <c r="AJ94" s="73"/>
      <c r="AK94" s="73">
        <v>11782.5</v>
      </c>
      <c r="AL94" s="74">
        <f t="shared" si="12"/>
        <v>0</v>
      </c>
      <c r="AM94" s="69"/>
      <c r="AN94" s="69"/>
      <c r="AO94" s="73" t="e">
        <f>AO89/AO84/7*1000</f>
        <v>#DIV/0!</v>
      </c>
      <c r="AP94" s="73" t="e">
        <f>AP89/AP84/7*1000</f>
        <v>#DIV/0!</v>
      </c>
      <c r="AQ94" s="74" t="e">
        <f>AO94/AP94</f>
        <v>#DIV/0!</v>
      </c>
      <c r="AR94" s="69"/>
      <c r="AS94" s="69"/>
      <c r="AT94" s="73" t="e">
        <f>AT89/AT84/8*1000</f>
        <v>#DIV/0!</v>
      </c>
      <c r="AU94" s="73" t="e">
        <f>AU89/AU84/8*1000</f>
        <v>#DIV/0!</v>
      </c>
      <c r="AV94" s="74" t="e">
        <f>AT94/AU94</f>
        <v>#DIV/0!</v>
      </c>
      <c r="AW94" s="69"/>
      <c r="AX94" s="69"/>
      <c r="AY94" s="73" t="e">
        <f>AY89/AY84/9*1000</f>
        <v>#DIV/0!</v>
      </c>
      <c r="AZ94" s="73" t="e">
        <f>AZ89/AZ84/9*1000</f>
        <v>#DIV/0!</v>
      </c>
      <c r="BA94" s="74" t="e">
        <f>AY94/AZ94</f>
        <v>#DIV/0!</v>
      </c>
      <c r="BB94" s="69"/>
      <c r="BC94" s="69"/>
      <c r="BD94" s="73" t="e">
        <f>BD89/BD84/10*1000</f>
        <v>#DIV/0!</v>
      </c>
      <c r="BE94" s="73" t="e">
        <f>BE89/BE84/10*1000</f>
        <v>#DIV/0!</v>
      </c>
      <c r="BF94" s="74" t="e">
        <f>BD94/BE94</f>
        <v>#DIV/0!</v>
      </c>
      <c r="BG94" s="69"/>
      <c r="BH94" s="69"/>
      <c r="BI94" s="73" t="e">
        <f>BI89/BI84/11*1000</f>
        <v>#DIV/0!</v>
      </c>
      <c r="BJ94" s="73" t="e">
        <f>BJ89/BJ84/11*1000</f>
        <v>#DIV/0!</v>
      </c>
      <c r="BK94" s="74" t="e">
        <f>BI94/BJ94</f>
        <v>#DIV/0!</v>
      </c>
      <c r="BL94" s="69"/>
      <c r="BM94" s="69"/>
      <c r="BN94" s="73" t="e">
        <f>BN89/BN84/11*1000</f>
        <v>#DIV/0!</v>
      </c>
      <c r="BO94" s="73" t="e">
        <f>BO89/BO84/11*1000</f>
        <v>#DIV/0!</v>
      </c>
      <c r="BP94" s="74" t="e">
        <f>BN94/BO94</f>
        <v>#DIV/0!</v>
      </c>
      <c r="BQ94" s="69"/>
      <c r="BR94" s="69"/>
    </row>
    <row r="95" spans="1:70" ht="16.5" customHeight="1">
      <c r="A95" s="94"/>
      <c r="B95" s="78" t="s">
        <v>89</v>
      </c>
      <c r="C95" s="55"/>
      <c r="D95" s="55"/>
      <c r="E95" s="95"/>
      <c r="F95" s="96"/>
      <c r="G95" s="96"/>
      <c r="H95" s="96"/>
      <c r="I95" s="96"/>
      <c r="J95" s="98"/>
      <c r="K95" s="98"/>
      <c r="L95" s="98"/>
      <c r="M95" s="86"/>
      <c r="N95" s="55"/>
      <c r="O95" s="55"/>
      <c r="P95" s="98"/>
      <c r="Q95" s="98"/>
      <c r="R95" s="85"/>
      <c r="S95" s="55"/>
      <c r="T95" s="55"/>
      <c r="U95" s="98"/>
      <c r="V95" s="98"/>
      <c r="W95" s="85"/>
      <c r="X95" s="55"/>
      <c r="Y95" s="55"/>
      <c r="Z95" s="98"/>
      <c r="AA95" s="98"/>
      <c r="AB95" s="85"/>
      <c r="AC95" s="55"/>
      <c r="AD95" s="55"/>
      <c r="AE95" s="98"/>
      <c r="AF95" s="98"/>
      <c r="AG95" s="85"/>
      <c r="AH95" s="55"/>
      <c r="AI95" s="55"/>
      <c r="AJ95" s="98"/>
      <c r="AK95" s="98"/>
      <c r="AL95" s="96"/>
      <c r="AM95" s="55"/>
      <c r="AN95" s="55"/>
      <c r="AO95" s="98"/>
      <c r="AP95" s="98"/>
      <c r="AQ95" s="85"/>
      <c r="AR95" s="55"/>
      <c r="AS95" s="55"/>
      <c r="AT95" s="98"/>
      <c r="AU95" s="98"/>
      <c r="AV95" s="85"/>
      <c r="AW95" s="55"/>
      <c r="AX95" s="55"/>
      <c r="AY95" s="98"/>
      <c r="AZ95" s="98"/>
      <c r="BA95" s="85"/>
      <c r="BB95" s="55"/>
      <c r="BC95" s="55"/>
      <c r="BD95" s="98"/>
      <c r="BE95" s="98"/>
      <c r="BF95" s="85"/>
      <c r="BG95" s="55"/>
      <c r="BH95" s="55"/>
      <c r="BI95" s="98"/>
      <c r="BJ95" s="98"/>
      <c r="BK95" s="85"/>
      <c r="BL95" s="55"/>
      <c r="BM95" s="55"/>
      <c r="BN95" s="98"/>
      <c r="BO95" s="98"/>
      <c r="BP95" s="85"/>
      <c r="BQ95" s="55"/>
      <c r="BR95" s="55"/>
    </row>
    <row r="96" spans="1:70" ht="16.5" customHeight="1">
      <c r="A96" s="102"/>
      <c r="B96" s="78" t="s">
        <v>90</v>
      </c>
      <c r="C96" s="103"/>
      <c r="D96" s="103"/>
      <c r="E96" s="104"/>
      <c r="F96" s="105"/>
      <c r="G96" s="105"/>
      <c r="H96" s="105"/>
      <c r="I96" s="105"/>
      <c r="J96" s="100">
        <f>J91/J86/1*1000</f>
        <v>15533.279009126467</v>
      </c>
      <c r="K96" s="100" t="e">
        <f>K91/K86/6*1000</f>
        <v>#DIV/0!</v>
      </c>
      <c r="L96" s="100">
        <f>L91/L86/1*1000</f>
        <v>12549.046982110016</v>
      </c>
      <c r="M96" s="86"/>
      <c r="N96" s="106"/>
      <c r="O96" s="106"/>
      <c r="P96" s="100">
        <f aca="true" t="shared" si="14" ref="P96:Q98">P91/P86/2*1000</f>
        <v>15487.77363385763</v>
      </c>
      <c r="Q96" s="100">
        <f t="shared" si="14"/>
        <v>12627.539503386006</v>
      </c>
      <c r="R96" s="74">
        <f>P96/Q96</f>
        <v>1.2265076367177208</v>
      </c>
      <c r="S96" s="106"/>
      <c r="T96" s="106"/>
      <c r="U96" s="100">
        <f aca="true" t="shared" si="15" ref="U96:V98">U91/U86/3*1000</f>
        <v>15659.704880817253</v>
      </c>
      <c r="V96" s="100">
        <f t="shared" si="15"/>
        <v>13040.562182000167</v>
      </c>
      <c r="W96" s="74">
        <f>U96/V96</f>
        <v>1.20084584255365</v>
      </c>
      <c r="X96" s="106"/>
      <c r="Y96" s="106"/>
      <c r="Z96" s="98">
        <f aca="true" t="shared" si="16" ref="Z96:AA98">Z91/Z86/4*1000</f>
        <v>15915.102007640413</v>
      </c>
      <c r="AA96" s="98">
        <f t="shared" si="16"/>
        <v>13042.947434292866</v>
      </c>
      <c r="AB96" s="74"/>
      <c r="AC96" s="106"/>
      <c r="AD96" s="106"/>
      <c r="AE96" s="98">
        <f aca="true" t="shared" si="17" ref="AE96:AF98">AE91/AE86/5*1000</f>
        <v>16105.054909297973</v>
      </c>
      <c r="AF96" s="98">
        <f t="shared" si="17"/>
        <v>13335.658136812177</v>
      </c>
      <c r="AG96" s="74">
        <f>AE96/AF96</f>
        <v>1.2076685487940835</v>
      </c>
      <c r="AH96" s="106"/>
      <c r="AI96" s="106"/>
      <c r="AJ96" s="100" t="e">
        <f>AJ91/AJ86/6*1000</f>
        <v>#DIV/0!</v>
      </c>
      <c r="AK96" s="100" t="e">
        <f>AK91/AK86/6*1000</f>
        <v>#DIV/0!</v>
      </c>
      <c r="AL96" s="105"/>
      <c r="AM96" s="106"/>
      <c r="AN96" s="106"/>
      <c r="AO96" s="100" t="e">
        <f aca="true" t="shared" si="18" ref="AO96:AP98">AO91/AO86/7*1000</f>
        <v>#DIV/0!</v>
      </c>
      <c r="AP96" s="100" t="e">
        <f t="shared" si="18"/>
        <v>#DIV/0!</v>
      </c>
      <c r="AQ96" s="74" t="e">
        <f>AO96/AP96</f>
        <v>#DIV/0!</v>
      </c>
      <c r="AR96" s="106"/>
      <c r="AS96" s="106"/>
      <c r="AT96" s="100" t="e">
        <f aca="true" t="shared" si="19" ref="AT96:AU98">AT91/AT86/8*1000</f>
        <v>#DIV/0!</v>
      </c>
      <c r="AU96" s="100" t="e">
        <f t="shared" si="19"/>
        <v>#DIV/0!</v>
      </c>
      <c r="AV96" s="74" t="e">
        <f>AT96/AU96</f>
        <v>#DIV/0!</v>
      </c>
      <c r="AW96" s="106"/>
      <c r="AX96" s="106"/>
      <c r="AY96" s="100" t="e">
        <f aca="true" t="shared" si="20" ref="AY96:AZ98">AY91/AY86/9*1000</f>
        <v>#DIV/0!</v>
      </c>
      <c r="AZ96" s="100" t="e">
        <f t="shared" si="20"/>
        <v>#DIV/0!</v>
      </c>
      <c r="BA96" s="74" t="e">
        <f>AY96/AZ96</f>
        <v>#DIV/0!</v>
      </c>
      <c r="BB96" s="106"/>
      <c r="BC96" s="106"/>
      <c r="BD96" s="100" t="e">
        <f aca="true" t="shared" si="21" ref="BD96:BE98">BD91/BD86/10*1000</f>
        <v>#DIV/0!</v>
      </c>
      <c r="BE96" s="100" t="e">
        <f t="shared" si="21"/>
        <v>#DIV/0!</v>
      </c>
      <c r="BF96" s="74" t="e">
        <f>BD96/BE96</f>
        <v>#DIV/0!</v>
      </c>
      <c r="BG96" s="106"/>
      <c r="BH96" s="106"/>
      <c r="BI96" s="100" t="e">
        <f aca="true" t="shared" si="22" ref="BI96:BJ98">BI91/BI86/11*1000</f>
        <v>#DIV/0!</v>
      </c>
      <c r="BJ96" s="100" t="e">
        <f t="shared" si="22"/>
        <v>#DIV/0!</v>
      </c>
      <c r="BK96" s="74" t="e">
        <f>BI96/BJ96</f>
        <v>#DIV/0!</v>
      </c>
      <c r="BL96" s="106"/>
      <c r="BM96" s="106"/>
      <c r="BN96" s="100" t="e">
        <f aca="true" t="shared" si="23" ref="BN96:BO98">BN91/BN86/11*1000</f>
        <v>#DIV/0!</v>
      </c>
      <c r="BO96" s="100" t="e">
        <f t="shared" si="23"/>
        <v>#DIV/0!</v>
      </c>
      <c r="BP96" s="74" t="e">
        <f>BN96/BO96</f>
        <v>#DIV/0!</v>
      </c>
      <c r="BQ96" s="106"/>
      <c r="BR96" s="106"/>
    </row>
    <row r="97" spans="1:70" ht="16.5" customHeight="1">
      <c r="A97" s="102"/>
      <c r="B97" s="78" t="s">
        <v>91</v>
      </c>
      <c r="C97" s="103"/>
      <c r="D97" s="103"/>
      <c r="E97" s="104"/>
      <c r="F97" s="105"/>
      <c r="G97" s="105"/>
      <c r="H97" s="105"/>
      <c r="I97" s="105"/>
      <c r="J97" s="100">
        <f>J92/J87/1*1000</f>
        <v>11519.237012987012</v>
      </c>
      <c r="K97" s="100"/>
      <c r="L97" s="100">
        <f>L92/L87/1*1000</f>
        <v>9605.9765625</v>
      </c>
      <c r="M97" s="86"/>
      <c r="N97" s="106"/>
      <c r="O97" s="106"/>
      <c r="P97" s="100">
        <f t="shared" si="14"/>
        <v>11520.190746753247</v>
      </c>
      <c r="Q97" s="100">
        <f t="shared" si="14"/>
        <v>9615.8203125</v>
      </c>
      <c r="R97" s="74">
        <f>P97/Q97</f>
        <v>1.198045551223298</v>
      </c>
      <c r="S97" s="106"/>
      <c r="T97" s="106"/>
      <c r="U97" s="100">
        <f t="shared" si="15"/>
        <v>11349.646275488973</v>
      </c>
      <c r="V97" s="100">
        <f t="shared" si="15"/>
        <v>9553.14091680815</v>
      </c>
      <c r="W97" s="74">
        <f>U97/V97</f>
        <v>1.1880538949781412</v>
      </c>
      <c r="X97" s="106"/>
      <c r="Y97" s="106"/>
      <c r="Z97" s="98">
        <f t="shared" si="16"/>
        <v>11350.707449022055</v>
      </c>
      <c r="AA97" s="98">
        <f t="shared" si="16"/>
        <v>9511.279711375213</v>
      </c>
      <c r="AB97" s="74"/>
      <c r="AC97" s="106"/>
      <c r="AD97" s="106"/>
      <c r="AE97" s="98">
        <f t="shared" si="17"/>
        <v>11351.002913025384</v>
      </c>
      <c r="AF97" s="98">
        <f t="shared" si="17"/>
        <v>9511.6298811545</v>
      </c>
      <c r="AG97" s="74">
        <f>AE97/AF97</f>
        <v>1.1933814766610351</v>
      </c>
      <c r="AH97" s="106"/>
      <c r="AI97" s="106"/>
      <c r="AJ97" s="100"/>
      <c r="AK97" s="100"/>
      <c r="AL97" s="105"/>
      <c r="AM97" s="106"/>
      <c r="AN97" s="106"/>
      <c r="AO97" s="100" t="e">
        <f t="shared" si="18"/>
        <v>#DIV/0!</v>
      </c>
      <c r="AP97" s="100" t="e">
        <f t="shared" si="18"/>
        <v>#DIV/0!</v>
      </c>
      <c r="AQ97" s="74" t="e">
        <f>AO97/AP97</f>
        <v>#DIV/0!</v>
      </c>
      <c r="AR97" s="106"/>
      <c r="AS97" s="106"/>
      <c r="AT97" s="100" t="e">
        <f t="shared" si="19"/>
        <v>#DIV/0!</v>
      </c>
      <c r="AU97" s="100" t="e">
        <f t="shared" si="19"/>
        <v>#DIV/0!</v>
      </c>
      <c r="AV97" s="74" t="e">
        <f>AT97/AU97</f>
        <v>#DIV/0!</v>
      </c>
      <c r="AW97" s="106"/>
      <c r="AX97" s="106"/>
      <c r="AY97" s="100" t="e">
        <f t="shared" si="20"/>
        <v>#DIV/0!</v>
      </c>
      <c r="AZ97" s="100" t="e">
        <f t="shared" si="20"/>
        <v>#DIV/0!</v>
      </c>
      <c r="BA97" s="74" t="e">
        <f>AY97/AZ97</f>
        <v>#DIV/0!</v>
      </c>
      <c r="BB97" s="106"/>
      <c r="BC97" s="106"/>
      <c r="BD97" s="100" t="e">
        <f t="shared" si="21"/>
        <v>#DIV/0!</v>
      </c>
      <c r="BE97" s="100" t="e">
        <f t="shared" si="21"/>
        <v>#DIV/0!</v>
      </c>
      <c r="BF97" s="74" t="e">
        <f>BD97/BE97</f>
        <v>#DIV/0!</v>
      </c>
      <c r="BG97" s="106"/>
      <c r="BH97" s="106"/>
      <c r="BI97" s="100" t="e">
        <f t="shared" si="22"/>
        <v>#DIV/0!</v>
      </c>
      <c r="BJ97" s="100" t="e">
        <f t="shared" si="22"/>
        <v>#DIV/0!</v>
      </c>
      <c r="BK97" s="74" t="e">
        <f>BI97/BJ97</f>
        <v>#DIV/0!</v>
      </c>
      <c r="BL97" s="106"/>
      <c r="BM97" s="106"/>
      <c r="BN97" s="100" t="e">
        <f t="shared" si="23"/>
        <v>#DIV/0!</v>
      </c>
      <c r="BO97" s="100" t="e">
        <f t="shared" si="23"/>
        <v>#DIV/0!</v>
      </c>
      <c r="BP97" s="74" t="e">
        <f>BN97/BO97</f>
        <v>#DIV/0!</v>
      </c>
      <c r="BQ97" s="106"/>
      <c r="BR97" s="106"/>
    </row>
    <row r="98" spans="1:70" ht="16.5" customHeight="1">
      <c r="A98" s="102"/>
      <c r="B98" s="78" t="s">
        <v>92</v>
      </c>
      <c r="C98" s="103"/>
      <c r="D98" s="103"/>
      <c r="E98" s="104"/>
      <c r="F98" s="105"/>
      <c r="G98" s="105"/>
      <c r="H98" s="105"/>
      <c r="I98" s="105"/>
      <c r="J98" s="100">
        <f>J93/J88/1*1000</f>
        <v>12657</v>
      </c>
      <c r="K98" s="100"/>
      <c r="L98" s="100">
        <f>L93/L88/1*1000</f>
        <v>12540</v>
      </c>
      <c r="M98" s="86"/>
      <c r="N98" s="106"/>
      <c r="O98" s="106"/>
      <c r="P98" s="100">
        <f t="shared" si="14"/>
        <v>12667</v>
      </c>
      <c r="Q98" s="100">
        <f t="shared" si="14"/>
        <v>12607.000000000002</v>
      </c>
      <c r="R98" s="74">
        <f>P98/Q98</f>
        <v>1.0047592607281668</v>
      </c>
      <c r="S98" s="106"/>
      <c r="T98" s="106"/>
      <c r="U98" s="100">
        <f t="shared" si="15"/>
        <v>12713.333333333332</v>
      </c>
      <c r="V98" s="100">
        <f t="shared" si="15"/>
        <v>12614.333333333334</v>
      </c>
      <c r="W98" s="74">
        <f>U98/V98</f>
        <v>1.0078482149935257</v>
      </c>
      <c r="X98" s="106"/>
      <c r="Y98" s="106"/>
      <c r="Z98" s="98">
        <f t="shared" si="16"/>
        <v>12730</v>
      </c>
      <c r="AA98" s="98">
        <f t="shared" si="16"/>
        <v>12617.5</v>
      </c>
      <c r="AB98" s="74"/>
      <c r="AC98" s="106"/>
      <c r="AD98" s="106"/>
      <c r="AE98" s="98">
        <f t="shared" si="17"/>
        <v>12730.1</v>
      </c>
      <c r="AF98" s="98">
        <f t="shared" si="17"/>
        <v>12620.000000000002</v>
      </c>
      <c r="AG98" s="74">
        <f>AE98/AF98</f>
        <v>1.0087242472266242</v>
      </c>
      <c r="AH98" s="106"/>
      <c r="AI98" s="106"/>
      <c r="AJ98" s="100"/>
      <c r="AK98" s="100"/>
      <c r="AL98" s="105"/>
      <c r="AM98" s="106"/>
      <c r="AN98" s="106"/>
      <c r="AO98" s="100" t="e">
        <f t="shared" si="18"/>
        <v>#DIV/0!</v>
      </c>
      <c r="AP98" s="100" t="e">
        <f t="shared" si="18"/>
        <v>#DIV/0!</v>
      </c>
      <c r="AQ98" s="74" t="e">
        <f>AO98/AP98</f>
        <v>#DIV/0!</v>
      </c>
      <c r="AR98" s="106"/>
      <c r="AS98" s="106"/>
      <c r="AT98" s="100" t="e">
        <f t="shared" si="19"/>
        <v>#DIV/0!</v>
      </c>
      <c r="AU98" s="100" t="e">
        <f t="shared" si="19"/>
        <v>#DIV/0!</v>
      </c>
      <c r="AV98" s="74" t="e">
        <f>AT98/AU98</f>
        <v>#DIV/0!</v>
      </c>
      <c r="AW98" s="106"/>
      <c r="AX98" s="106"/>
      <c r="AY98" s="100" t="e">
        <f t="shared" si="20"/>
        <v>#DIV/0!</v>
      </c>
      <c r="AZ98" s="100" t="e">
        <f t="shared" si="20"/>
        <v>#DIV/0!</v>
      </c>
      <c r="BA98" s="74" t="e">
        <f>AY98/AZ98</f>
        <v>#DIV/0!</v>
      </c>
      <c r="BB98" s="106"/>
      <c r="BC98" s="106"/>
      <c r="BD98" s="100" t="e">
        <f t="shared" si="21"/>
        <v>#DIV/0!</v>
      </c>
      <c r="BE98" s="100" t="e">
        <f t="shared" si="21"/>
        <v>#DIV/0!</v>
      </c>
      <c r="BF98" s="74" t="e">
        <f>BD98/BE98</f>
        <v>#DIV/0!</v>
      </c>
      <c r="BG98" s="106"/>
      <c r="BH98" s="106"/>
      <c r="BI98" s="100" t="e">
        <f t="shared" si="22"/>
        <v>#DIV/0!</v>
      </c>
      <c r="BJ98" s="100" t="e">
        <f t="shared" si="22"/>
        <v>#DIV/0!</v>
      </c>
      <c r="BK98" s="74" t="e">
        <f>BI98/BJ98</f>
        <v>#DIV/0!</v>
      </c>
      <c r="BL98" s="106"/>
      <c r="BM98" s="106"/>
      <c r="BN98" s="100" t="e">
        <f t="shared" si="23"/>
        <v>#DIV/0!</v>
      </c>
      <c r="BO98" s="100" t="e">
        <f t="shared" si="23"/>
        <v>#DIV/0!</v>
      </c>
      <c r="BP98" s="74" t="e">
        <f>BN98/BO98</f>
        <v>#DIV/0!</v>
      </c>
      <c r="BQ98" s="106"/>
      <c r="BR98" s="106"/>
    </row>
    <row r="99" spans="1:70" ht="21" customHeight="1">
      <c r="A99" s="107">
        <v>8</v>
      </c>
      <c r="B99" s="68" t="s">
        <v>95</v>
      </c>
      <c r="C99" s="108"/>
      <c r="D99" s="108"/>
      <c r="E99" s="109"/>
      <c r="F99" s="110"/>
      <c r="G99" s="110"/>
      <c r="H99" s="110"/>
      <c r="I99" s="110"/>
      <c r="J99" s="70"/>
      <c r="K99" s="70"/>
      <c r="L99" s="70"/>
      <c r="M99" s="74"/>
      <c r="N99" s="111"/>
      <c r="O99" s="111"/>
      <c r="P99" s="109">
        <v>0</v>
      </c>
      <c r="Q99" s="109">
        <v>0</v>
      </c>
      <c r="R99" s="110"/>
      <c r="S99" s="111"/>
      <c r="T99" s="111"/>
      <c r="U99" s="109">
        <v>0</v>
      </c>
      <c r="V99" s="109">
        <v>0</v>
      </c>
      <c r="W99" s="110"/>
      <c r="X99" s="111"/>
      <c r="Y99" s="111"/>
      <c r="Z99" s="109">
        <v>0</v>
      </c>
      <c r="AA99" s="109">
        <v>0</v>
      </c>
      <c r="AB99" s="110"/>
      <c r="AC99" s="111"/>
      <c r="AD99" s="111"/>
      <c r="AE99" s="70">
        <v>0</v>
      </c>
      <c r="AF99" s="70">
        <v>0</v>
      </c>
      <c r="AG99" s="110"/>
      <c r="AH99" s="111"/>
      <c r="AI99" s="111"/>
      <c r="AJ99" s="70"/>
      <c r="AK99" s="70"/>
      <c r="AL99" s="110"/>
      <c r="AM99" s="111"/>
      <c r="AN99" s="111"/>
      <c r="AO99" s="109">
        <v>0</v>
      </c>
      <c r="AP99" s="109">
        <v>0</v>
      </c>
      <c r="AQ99" s="110"/>
      <c r="AR99" s="111"/>
      <c r="AS99" s="111"/>
      <c r="AT99" s="109"/>
      <c r="AU99" s="109">
        <v>0</v>
      </c>
      <c r="AV99" s="110"/>
      <c r="AW99" s="111"/>
      <c r="AX99" s="111"/>
      <c r="AY99" s="109"/>
      <c r="AZ99" s="109"/>
      <c r="BA99" s="110"/>
      <c r="BB99" s="111"/>
      <c r="BC99" s="111"/>
      <c r="BD99" s="70"/>
      <c r="BE99" s="70"/>
      <c r="BF99" s="110"/>
      <c r="BG99" s="111"/>
      <c r="BH99" s="111"/>
      <c r="BI99" s="70"/>
      <c r="BJ99" s="70"/>
      <c r="BK99" s="110"/>
      <c r="BL99" s="111"/>
      <c r="BM99" s="111"/>
      <c r="BN99" s="70"/>
      <c r="BO99" s="70"/>
      <c r="BP99" s="110"/>
      <c r="BQ99" s="111"/>
      <c r="BR99" s="111"/>
    </row>
    <row r="100" spans="1:70" ht="27" customHeight="1">
      <c r="A100" s="67">
        <v>9</v>
      </c>
      <c r="B100" s="68" t="s">
        <v>96</v>
      </c>
      <c r="C100" s="69"/>
      <c r="D100" s="69"/>
      <c r="E100" s="70"/>
      <c r="F100" s="71"/>
      <c r="G100" s="71"/>
      <c r="H100" s="71"/>
      <c r="I100" s="71"/>
      <c r="J100" s="73">
        <v>4712</v>
      </c>
      <c r="K100" s="73"/>
      <c r="L100" s="73">
        <v>749</v>
      </c>
      <c r="M100" s="74">
        <f t="shared" si="13"/>
        <v>6.29105473965287</v>
      </c>
      <c r="N100" s="69"/>
      <c r="O100" s="69"/>
      <c r="P100" s="73">
        <v>8665</v>
      </c>
      <c r="Q100" s="73">
        <v>6681</v>
      </c>
      <c r="R100" s="112">
        <f>P100/Q100</f>
        <v>1.2969615327046848</v>
      </c>
      <c r="S100" s="69"/>
      <c r="T100" s="69"/>
      <c r="U100" s="73">
        <v>13221</v>
      </c>
      <c r="V100" s="73">
        <v>9905</v>
      </c>
      <c r="W100" s="112">
        <f>U100/V100</f>
        <v>1.3347804139323574</v>
      </c>
      <c r="X100" s="69"/>
      <c r="Y100" s="69"/>
      <c r="Z100" s="73">
        <v>19240</v>
      </c>
      <c r="AA100" s="73">
        <v>14836</v>
      </c>
      <c r="AB100" s="112">
        <f>Z100/AA100</f>
        <v>1.2968455109193853</v>
      </c>
      <c r="AC100" s="69"/>
      <c r="AD100" s="69"/>
      <c r="AE100" s="73">
        <v>27394</v>
      </c>
      <c r="AF100" s="73">
        <v>19109</v>
      </c>
      <c r="AG100" s="112">
        <f>AE100/AF100</f>
        <v>1.4335653357056883</v>
      </c>
      <c r="AH100" s="69"/>
      <c r="AI100" s="69"/>
      <c r="AJ100" s="73"/>
      <c r="AK100" s="73"/>
      <c r="AL100" s="71"/>
      <c r="AM100" s="69"/>
      <c r="AN100" s="69"/>
      <c r="AO100" s="73"/>
      <c r="AP100" s="73"/>
      <c r="AQ100" s="112" t="e">
        <f>AO100/AP100</f>
        <v>#DIV/0!</v>
      </c>
      <c r="AR100" s="69"/>
      <c r="AS100" s="69"/>
      <c r="AT100" s="73"/>
      <c r="AU100" s="73"/>
      <c r="AV100" s="112" t="e">
        <f>AT100/AU100</f>
        <v>#DIV/0!</v>
      </c>
      <c r="AW100" s="69"/>
      <c r="AX100" s="69"/>
      <c r="AY100" s="73"/>
      <c r="AZ100" s="73"/>
      <c r="BA100" s="112" t="e">
        <f>AY100/AZ100</f>
        <v>#DIV/0!</v>
      </c>
      <c r="BB100" s="69"/>
      <c r="BC100" s="69"/>
      <c r="BD100" s="73"/>
      <c r="BE100" s="73"/>
      <c r="BF100" s="112" t="e">
        <f>BD100/BE100</f>
        <v>#DIV/0!</v>
      </c>
      <c r="BG100" s="69"/>
      <c r="BH100" s="69"/>
      <c r="BI100" s="73"/>
      <c r="BJ100" s="73"/>
      <c r="BK100" s="112" t="e">
        <f>BI100/BJ100</f>
        <v>#DIV/0!</v>
      </c>
      <c r="BL100" s="69"/>
      <c r="BM100" s="69"/>
      <c r="BN100" s="73"/>
      <c r="BO100" s="73"/>
      <c r="BP100" s="112" t="e">
        <f>BN100/BO100</f>
        <v>#DIV/0!</v>
      </c>
      <c r="BQ100" s="69"/>
      <c r="BR100" s="69"/>
    </row>
    <row r="101" spans="1:70" ht="27" customHeight="1">
      <c r="A101" s="67">
        <v>10</v>
      </c>
      <c r="B101" s="68" t="s">
        <v>97</v>
      </c>
      <c r="C101" s="69"/>
      <c r="D101" s="69"/>
      <c r="E101" s="70"/>
      <c r="F101" s="71"/>
      <c r="G101" s="71"/>
      <c r="H101" s="71"/>
      <c r="I101" s="71"/>
      <c r="J101" s="73">
        <v>-3810</v>
      </c>
      <c r="K101" s="73"/>
      <c r="L101" s="73">
        <v>-7537</v>
      </c>
      <c r="M101" s="71"/>
      <c r="N101" s="69"/>
      <c r="O101" s="69"/>
      <c r="P101" s="73">
        <v>-2875</v>
      </c>
      <c r="Q101" s="73">
        <v>-12454</v>
      </c>
      <c r="R101" s="112"/>
      <c r="S101" s="69"/>
      <c r="T101" s="69"/>
      <c r="U101" s="73">
        <v>-11213</v>
      </c>
      <c r="V101" s="73">
        <v>-17284</v>
      </c>
      <c r="W101" s="112"/>
      <c r="X101" s="69"/>
      <c r="Y101" s="69"/>
      <c r="Z101" s="73">
        <v>-8310</v>
      </c>
      <c r="AA101" s="73">
        <v>-17203</v>
      </c>
      <c r="AB101" s="112"/>
      <c r="AC101" s="69"/>
      <c r="AD101" s="69"/>
      <c r="AE101" s="73">
        <v>-8025</v>
      </c>
      <c r="AF101" s="73">
        <v>-17079</v>
      </c>
      <c r="AG101" s="112"/>
      <c r="AH101" s="69"/>
      <c r="AI101" s="69"/>
      <c r="AJ101" s="73"/>
      <c r="AK101" s="73"/>
      <c r="AL101" s="71"/>
      <c r="AM101" s="69"/>
      <c r="AN101" s="69"/>
      <c r="AO101" s="73"/>
      <c r="AP101" s="73"/>
      <c r="AQ101" s="112"/>
      <c r="AR101" s="69"/>
      <c r="AS101" s="69"/>
      <c r="AT101" s="73"/>
      <c r="AU101" s="73"/>
      <c r="AV101" s="112"/>
      <c r="AW101" s="69"/>
      <c r="AX101" s="69"/>
      <c r="AY101" s="73"/>
      <c r="AZ101" s="73"/>
      <c r="BA101" s="112"/>
      <c r="BB101" s="69"/>
      <c r="BC101" s="69"/>
      <c r="BD101" s="73"/>
      <c r="BE101" s="73"/>
      <c r="BF101" s="112"/>
      <c r="BG101" s="69"/>
      <c r="BH101" s="69"/>
      <c r="BI101" s="73"/>
      <c r="BJ101" s="73"/>
      <c r="BK101" s="112"/>
      <c r="BL101" s="69"/>
      <c r="BM101" s="69"/>
      <c r="BN101" s="73"/>
      <c r="BO101" s="73"/>
      <c r="BP101" s="112"/>
      <c r="BQ101" s="69"/>
      <c r="BR101" s="69"/>
    </row>
    <row r="102" spans="1:70" ht="30" customHeight="1">
      <c r="A102" s="67">
        <v>11</v>
      </c>
      <c r="B102" s="68" t="s">
        <v>98</v>
      </c>
      <c r="C102" s="69"/>
      <c r="D102" s="69"/>
      <c r="E102" s="70"/>
      <c r="F102" s="71"/>
      <c r="G102" s="71"/>
      <c r="H102" s="71"/>
      <c r="I102" s="71"/>
      <c r="J102" s="73">
        <f>J100+J101</f>
        <v>902</v>
      </c>
      <c r="K102" s="73"/>
      <c r="L102" s="73">
        <f>L100+L101</f>
        <v>-6788</v>
      </c>
      <c r="M102" s="71"/>
      <c r="N102" s="69"/>
      <c r="O102" s="69"/>
      <c r="P102" s="73">
        <v>5790</v>
      </c>
      <c r="Q102" s="73">
        <v>-5773</v>
      </c>
      <c r="R102" s="112">
        <f>P102/Q102</f>
        <v>-1.0029447427680582</v>
      </c>
      <c r="S102" s="69"/>
      <c r="T102" s="69"/>
      <c r="U102" s="73">
        <f>U100+U101</f>
        <v>2008</v>
      </c>
      <c r="V102" s="73">
        <f>V100+V101</f>
        <v>-7379</v>
      </c>
      <c r="W102" s="112"/>
      <c r="X102" s="69"/>
      <c r="Y102" s="69"/>
      <c r="Z102" s="73">
        <f>SUM(Z100:Z101)</f>
        <v>10930</v>
      </c>
      <c r="AA102" s="73">
        <f>SUM(AA100:AA101)</f>
        <v>-2367</v>
      </c>
      <c r="AB102" s="112">
        <f>Z102/AA102</f>
        <v>-4.617659484579637</v>
      </c>
      <c r="AC102" s="69"/>
      <c r="AD102" s="69"/>
      <c r="AE102" s="73">
        <f>SUM(AE100:AE101)</f>
        <v>19369</v>
      </c>
      <c r="AF102" s="73">
        <f>SUM(AF100:AF101)</f>
        <v>2030</v>
      </c>
      <c r="AG102" s="112">
        <f>AE102/AF102</f>
        <v>9.541379310344828</v>
      </c>
      <c r="AH102" s="69"/>
      <c r="AI102" s="69"/>
      <c r="AJ102" s="73">
        <f>AJ100+AJ101</f>
        <v>0</v>
      </c>
      <c r="AK102" s="73">
        <f>AK100+AK101</f>
        <v>0</v>
      </c>
      <c r="AL102" s="71"/>
      <c r="AM102" s="69"/>
      <c r="AN102" s="69"/>
      <c r="AO102" s="73"/>
      <c r="AP102" s="73"/>
      <c r="AQ102" s="112" t="e">
        <f>AO102/AP102</f>
        <v>#DIV/0!</v>
      </c>
      <c r="AR102" s="69"/>
      <c r="AS102" s="69"/>
      <c r="AT102" s="73"/>
      <c r="AU102" s="73"/>
      <c r="AV102" s="112" t="e">
        <f>AT102/AU102</f>
        <v>#DIV/0!</v>
      </c>
      <c r="AW102" s="69"/>
      <c r="AX102" s="69"/>
      <c r="AY102" s="73">
        <f>SUM(AY100:AY101)</f>
        <v>0</v>
      </c>
      <c r="AZ102" s="73">
        <f>SUM(AZ100:AZ101)</f>
        <v>0</v>
      </c>
      <c r="BA102" s="112" t="e">
        <f>AY102/AZ102</f>
        <v>#DIV/0!</v>
      </c>
      <c r="BB102" s="69"/>
      <c r="BC102" s="69"/>
      <c r="BD102" s="73">
        <f>SUM(BD100:BD101)</f>
        <v>0</v>
      </c>
      <c r="BE102" s="73"/>
      <c r="BF102" s="112" t="e">
        <f>BD102/BE102</f>
        <v>#DIV/0!</v>
      </c>
      <c r="BG102" s="69"/>
      <c r="BH102" s="69"/>
      <c r="BI102" s="73">
        <f>SUM(BI100:BI101)</f>
        <v>0</v>
      </c>
      <c r="BJ102" s="73">
        <f>SUM(BJ100:BJ101)</f>
        <v>0</v>
      </c>
      <c r="BK102" s="112" t="e">
        <f>BI102/BJ102</f>
        <v>#DIV/0!</v>
      </c>
      <c r="BL102" s="69"/>
      <c r="BM102" s="69"/>
      <c r="BN102" s="73">
        <f>SUM(BN100:BN101)</f>
        <v>0</v>
      </c>
      <c r="BO102" s="73">
        <f>SUM(BO100:BO101)</f>
        <v>0</v>
      </c>
      <c r="BP102" s="112" t="e">
        <f>BN102/BO102</f>
        <v>#DIV/0!</v>
      </c>
      <c r="BQ102" s="69"/>
      <c r="BR102" s="69"/>
    </row>
    <row r="103" spans="1:70" ht="15" customHeight="1">
      <c r="A103" s="67">
        <v>12</v>
      </c>
      <c r="B103" s="68" t="s">
        <v>99</v>
      </c>
      <c r="C103" s="69"/>
      <c r="D103" s="69"/>
      <c r="E103" s="70"/>
      <c r="F103" s="71"/>
      <c r="G103" s="71"/>
      <c r="H103" s="71"/>
      <c r="I103" s="71"/>
      <c r="J103" s="113">
        <v>12</v>
      </c>
      <c r="K103" s="70"/>
      <c r="L103" s="114">
        <v>11</v>
      </c>
      <c r="M103" s="71"/>
      <c r="N103" s="69"/>
      <c r="O103" s="69"/>
      <c r="P103" s="113">
        <v>12</v>
      </c>
      <c r="Q103" s="114">
        <v>12</v>
      </c>
      <c r="R103" s="71"/>
      <c r="S103" s="69"/>
      <c r="T103" s="69"/>
      <c r="U103" s="113">
        <f>SUM(U104:U105)</f>
        <v>14</v>
      </c>
      <c r="V103" s="113">
        <f>SUM(V104:V105)</f>
        <v>13</v>
      </c>
      <c r="W103" s="71"/>
      <c r="X103" s="69"/>
      <c r="Y103" s="69"/>
      <c r="Z103" s="113">
        <v>14</v>
      </c>
      <c r="AA103" s="114">
        <v>12</v>
      </c>
      <c r="AB103" s="71"/>
      <c r="AC103" s="69"/>
      <c r="AD103" s="69"/>
      <c r="AE103" s="113">
        <v>13</v>
      </c>
      <c r="AF103" s="114">
        <v>12</v>
      </c>
      <c r="AG103" s="71"/>
      <c r="AH103" s="69"/>
      <c r="AI103" s="69"/>
      <c r="AJ103" s="113"/>
      <c r="AK103" s="114"/>
      <c r="AL103" s="71"/>
      <c r="AM103" s="69"/>
      <c r="AN103" s="69"/>
      <c r="AO103" s="113"/>
      <c r="AP103" s="114"/>
      <c r="AQ103" s="71"/>
      <c r="AR103" s="69"/>
      <c r="AS103" s="69"/>
      <c r="AT103" s="113"/>
      <c r="AU103" s="114"/>
      <c r="AV103" s="71"/>
      <c r="AW103" s="69"/>
      <c r="AX103" s="69"/>
      <c r="AY103" s="113"/>
      <c r="AZ103" s="114"/>
      <c r="BA103" s="71"/>
      <c r="BB103" s="69"/>
      <c r="BC103" s="69"/>
      <c r="BD103" s="113"/>
      <c r="BE103" s="114"/>
      <c r="BF103" s="71"/>
      <c r="BG103" s="69"/>
      <c r="BH103" s="69"/>
      <c r="BI103" s="113"/>
      <c r="BJ103" s="114"/>
      <c r="BK103" s="71"/>
      <c r="BL103" s="69"/>
      <c r="BM103" s="69"/>
      <c r="BN103" s="113"/>
      <c r="BO103" s="114"/>
      <c r="BP103" s="71"/>
      <c r="BQ103" s="69"/>
      <c r="BR103" s="69"/>
    </row>
    <row r="104" spans="1:70" ht="30.75" customHeight="1">
      <c r="A104" s="67">
        <v>13</v>
      </c>
      <c r="B104" s="68" t="s">
        <v>100</v>
      </c>
      <c r="C104" s="69"/>
      <c r="D104" s="69"/>
      <c r="E104" s="70"/>
      <c r="F104" s="71"/>
      <c r="G104" s="71"/>
      <c r="H104" s="71"/>
      <c r="I104" s="71"/>
      <c r="J104" s="113">
        <v>6</v>
      </c>
      <c r="K104" s="70"/>
      <c r="L104" s="114">
        <v>5</v>
      </c>
      <c r="M104" s="71"/>
      <c r="N104" s="69"/>
      <c r="O104" s="69"/>
      <c r="P104" s="113">
        <v>9</v>
      </c>
      <c r="Q104" s="114">
        <v>6</v>
      </c>
      <c r="R104" s="71"/>
      <c r="S104" s="69"/>
      <c r="T104" s="69"/>
      <c r="U104" s="113">
        <v>8</v>
      </c>
      <c r="V104" s="114">
        <v>7</v>
      </c>
      <c r="W104" s="71"/>
      <c r="X104" s="69"/>
      <c r="Y104" s="69"/>
      <c r="Z104" s="113">
        <v>8</v>
      </c>
      <c r="AA104" s="114">
        <v>6</v>
      </c>
      <c r="AB104" s="71"/>
      <c r="AC104" s="69"/>
      <c r="AD104" s="69"/>
      <c r="AE104" s="113">
        <v>7</v>
      </c>
      <c r="AF104" s="114">
        <v>6</v>
      </c>
      <c r="AG104" s="71"/>
      <c r="AH104" s="69"/>
      <c r="AI104" s="69"/>
      <c r="AJ104" s="113"/>
      <c r="AK104" s="114"/>
      <c r="AL104" s="71"/>
      <c r="AM104" s="69"/>
      <c r="AN104" s="69"/>
      <c r="AO104" s="113"/>
      <c r="AP104" s="114"/>
      <c r="AQ104" s="71"/>
      <c r="AR104" s="69"/>
      <c r="AS104" s="69"/>
      <c r="AT104" s="113"/>
      <c r="AU104" s="114"/>
      <c r="AV104" s="71"/>
      <c r="AW104" s="69"/>
      <c r="AX104" s="69"/>
      <c r="AY104" s="113"/>
      <c r="AZ104" s="114"/>
      <c r="BA104" s="71"/>
      <c r="BB104" s="69"/>
      <c r="BC104" s="69"/>
      <c r="BD104" s="113"/>
      <c r="BE104" s="114"/>
      <c r="BF104" s="71"/>
      <c r="BG104" s="69"/>
      <c r="BH104" s="69"/>
      <c r="BI104" s="113"/>
      <c r="BJ104" s="114"/>
      <c r="BK104" s="71"/>
      <c r="BL104" s="69"/>
      <c r="BM104" s="69"/>
      <c r="BN104" s="113"/>
      <c r="BO104" s="114"/>
      <c r="BP104" s="71"/>
      <c r="BQ104" s="69"/>
      <c r="BR104" s="69"/>
    </row>
    <row r="105" spans="1:70" ht="25.5" customHeight="1">
      <c r="A105" s="67">
        <v>14</v>
      </c>
      <c r="B105" s="68" t="s">
        <v>101</v>
      </c>
      <c r="C105" s="69"/>
      <c r="D105" s="69"/>
      <c r="E105" s="70"/>
      <c r="F105" s="71"/>
      <c r="G105" s="71"/>
      <c r="H105" s="71"/>
      <c r="I105" s="71"/>
      <c r="J105" s="113">
        <v>6</v>
      </c>
      <c r="K105" s="70"/>
      <c r="L105" s="114">
        <v>6</v>
      </c>
      <c r="M105" s="71"/>
      <c r="N105" s="69"/>
      <c r="O105" s="69"/>
      <c r="P105" s="113">
        <v>3</v>
      </c>
      <c r="Q105" s="114">
        <v>6</v>
      </c>
      <c r="R105" s="71"/>
      <c r="S105" s="69"/>
      <c r="T105" s="69"/>
      <c r="U105" s="113">
        <v>6</v>
      </c>
      <c r="V105" s="114">
        <v>6</v>
      </c>
      <c r="W105" s="71"/>
      <c r="X105" s="69"/>
      <c r="Y105" s="69"/>
      <c r="Z105" s="113">
        <v>6</v>
      </c>
      <c r="AA105" s="114">
        <v>6</v>
      </c>
      <c r="AB105" s="71"/>
      <c r="AC105" s="69"/>
      <c r="AD105" s="69"/>
      <c r="AE105" s="113">
        <v>6</v>
      </c>
      <c r="AF105" s="114">
        <v>6</v>
      </c>
      <c r="AG105" s="71"/>
      <c r="AH105" s="69"/>
      <c r="AI105" s="69"/>
      <c r="AJ105" s="113"/>
      <c r="AK105" s="114"/>
      <c r="AL105" s="71"/>
      <c r="AM105" s="69"/>
      <c r="AN105" s="69"/>
      <c r="AO105" s="113"/>
      <c r="AP105" s="114"/>
      <c r="AQ105" s="71"/>
      <c r="AR105" s="69"/>
      <c r="AS105" s="69"/>
      <c r="AT105" s="113"/>
      <c r="AU105" s="114"/>
      <c r="AV105" s="71"/>
      <c r="AW105" s="69"/>
      <c r="AX105" s="69"/>
      <c r="AY105" s="113"/>
      <c r="AZ105" s="114"/>
      <c r="BA105" s="71"/>
      <c r="BB105" s="69"/>
      <c r="BC105" s="69"/>
      <c r="BD105" s="113"/>
      <c r="BE105" s="114"/>
      <c r="BF105" s="71"/>
      <c r="BG105" s="69"/>
      <c r="BH105" s="69"/>
      <c r="BI105" s="113"/>
      <c r="BJ105" s="114"/>
      <c r="BK105" s="71"/>
      <c r="BL105" s="69"/>
      <c r="BM105" s="69"/>
      <c r="BN105" s="113"/>
      <c r="BO105" s="114"/>
      <c r="BP105" s="71"/>
      <c r="BQ105" s="69"/>
      <c r="BR105" s="69"/>
    </row>
    <row r="106" spans="1:70" ht="25.5" customHeight="1">
      <c r="A106" s="67">
        <v>15</v>
      </c>
      <c r="B106" s="68" t="s">
        <v>102</v>
      </c>
      <c r="C106" s="69"/>
      <c r="D106" s="69"/>
      <c r="E106" s="70"/>
      <c r="F106" s="71"/>
      <c r="G106" s="71"/>
      <c r="H106" s="71"/>
      <c r="I106" s="71"/>
      <c r="J106" s="74">
        <f>J104/J103</f>
        <v>0.5</v>
      </c>
      <c r="K106" s="74" t="e">
        <f>K104/K103</f>
        <v>#DIV/0!</v>
      </c>
      <c r="L106" s="74">
        <f>L104/L103</f>
        <v>0.45454545454545453</v>
      </c>
      <c r="M106" s="71"/>
      <c r="N106" s="69"/>
      <c r="O106" s="69"/>
      <c r="P106" s="74">
        <f>P104/P103</f>
        <v>0.75</v>
      </c>
      <c r="Q106" s="74">
        <f>Q104/Q103</f>
        <v>0.5</v>
      </c>
      <c r="R106" s="71"/>
      <c r="S106" s="69"/>
      <c r="T106" s="69"/>
      <c r="U106" s="74">
        <f>U104/U103</f>
        <v>0.5714285714285714</v>
      </c>
      <c r="V106" s="74">
        <f>V104/V103</f>
        <v>0.5384615384615384</v>
      </c>
      <c r="W106" s="71"/>
      <c r="X106" s="69"/>
      <c r="Y106" s="69"/>
      <c r="Z106" s="74">
        <f>Z104/Z103</f>
        <v>0.5714285714285714</v>
      </c>
      <c r="AA106" s="74">
        <f>AA104/AA103</f>
        <v>0.5</v>
      </c>
      <c r="AB106" s="71"/>
      <c r="AC106" s="69"/>
      <c r="AD106" s="69"/>
      <c r="AE106" s="74">
        <f>AE104/AE103</f>
        <v>0.5384615384615384</v>
      </c>
      <c r="AF106" s="74">
        <f>AF104/AF103</f>
        <v>0.5</v>
      </c>
      <c r="AG106" s="71"/>
      <c r="AH106" s="69"/>
      <c r="AI106" s="69"/>
      <c r="AJ106" s="74" t="e">
        <f>AJ104/AJ103</f>
        <v>#DIV/0!</v>
      </c>
      <c r="AK106" s="74" t="e">
        <f>AK104/AK103</f>
        <v>#DIV/0!</v>
      </c>
      <c r="AL106" s="71"/>
      <c r="AM106" s="69"/>
      <c r="AN106" s="69"/>
      <c r="AO106" s="74" t="e">
        <f>AO104/AO103</f>
        <v>#DIV/0!</v>
      </c>
      <c r="AP106" s="74" t="e">
        <f>AP104/AP103</f>
        <v>#DIV/0!</v>
      </c>
      <c r="AQ106" s="71"/>
      <c r="AR106" s="69"/>
      <c r="AS106" s="69"/>
      <c r="AT106" s="74" t="e">
        <f>AT104/AT103</f>
        <v>#DIV/0!</v>
      </c>
      <c r="AU106" s="74" t="e">
        <f>AU104/AU103</f>
        <v>#DIV/0!</v>
      </c>
      <c r="AV106" s="71"/>
      <c r="AW106" s="69"/>
      <c r="AX106" s="69"/>
      <c r="AY106" s="74" t="e">
        <f>AY104/AY103</f>
        <v>#DIV/0!</v>
      </c>
      <c r="AZ106" s="74" t="e">
        <f>AZ104/AZ103</f>
        <v>#DIV/0!</v>
      </c>
      <c r="BA106" s="71"/>
      <c r="BB106" s="69"/>
      <c r="BC106" s="69"/>
      <c r="BD106" s="74" t="e">
        <f>BD104/BD103</f>
        <v>#DIV/0!</v>
      </c>
      <c r="BE106" s="74" t="e">
        <f>BE104/BE103</f>
        <v>#DIV/0!</v>
      </c>
      <c r="BF106" s="71"/>
      <c r="BG106" s="69"/>
      <c r="BH106" s="69"/>
      <c r="BI106" s="74" t="e">
        <f>BI104/BI103</f>
        <v>#DIV/0!</v>
      </c>
      <c r="BJ106" s="74" t="e">
        <f>BJ104/BJ103</f>
        <v>#DIV/0!</v>
      </c>
      <c r="BK106" s="71"/>
      <c r="BL106" s="69"/>
      <c r="BM106" s="69"/>
      <c r="BN106" s="74" t="e">
        <f>BN104/BN103</f>
        <v>#DIV/0!</v>
      </c>
      <c r="BO106" s="74" t="e">
        <f>BO104/BO103</f>
        <v>#DIV/0!</v>
      </c>
      <c r="BP106" s="71"/>
      <c r="BQ106" s="69"/>
      <c r="BR106" s="69"/>
    </row>
    <row r="107" spans="1:70" ht="25.5" customHeight="1">
      <c r="A107" s="67">
        <v>16</v>
      </c>
      <c r="B107" s="68" t="s">
        <v>103</v>
      </c>
      <c r="C107" s="69"/>
      <c r="D107" s="69"/>
      <c r="E107" s="70"/>
      <c r="F107" s="71"/>
      <c r="G107" s="71"/>
      <c r="H107" s="71"/>
      <c r="I107" s="71"/>
      <c r="J107" s="74">
        <f>J105/J103</f>
        <v>0.5</v>
      </c>
      <c r="K107" s="74" t="e">
        <f>K105/K103</f>
        <v>#DIV/0!</v>
      </c>
      <c r="L107" s="74">
        <f>L105/L103</f>
        <v>0.5454545454545454</v>
      </c>
      <c r="M107" s="71"/>
      <c r="N107" s="69"/>
      <c r="O107" s="69"/>
      <c r="P107" s="74">
        <f>P105/P103</f>
        <v>0.25</v>
      </c>
      <c r="Q107" s="74">
        <f>Q105/Q103</f>
        <v>0.5</v>
      </c>
      <c r="R107" s="71"/>
      <c r="S107" s="69"/>
      <c r="T107" s="69"/>
      <c r="U107" s="74">
        <f>U105/U103</f>
        <v>0.42857142857142855</v>
      </c>
      <c r="V107" s="74">
        <f>V105/V103</f>
        <v>0.46153846153846156</v>
      </c>
      <c r="W107" s="71"/>
      <c r="X107" s="69"/>
      <c r="Y107" s="69"/>
      <c r="Z107" s="74">
        <f>Z105/Z103</f>
        <v>0.42857142857142855</v>
      </c>
      <c r="AA107" s="74">
        <f>AA105/AA103</f>
        <v>0.5</v>
      </c>
      <c r="AB107" s="71"/>
      <c r="AC107" s="69"/>
      <c r="AD107" s="69"/>
      <c r="AE107" s="74">
        <f>AE105/AE103</f>
        <v>0.46153846153846156</v>
      </c>
      <c r="AF107" s="74">
        <f>AF105/AF103</f>
        <v>0.5</v>
      </c>
      <c r="AG107" s="71"/>
      <c r="AH107" s="69"/>
      <c r="AI107" s="69"/>
      <c r="AJ107" s="74" t="e">
        <f>AJ105/AJ103</f>
        <v>#DIV/0!</v>
      </c>
      <c r="AK107" s="74" t="e">
        <f>AK105/AK103</f>
        <v>#DIV/0!</v>
      </c>
      <c r="AL107" s="71"/>
      <c r="AM107" s="69"/>
      <c r="AN107" s="69"/>
      <c r="AO107" s="74" t="e">
        <f>AO105/AO103</f>
        <v>#DIV/0!</v>
      </c>
      <c r="AP107" s="74" t="e">
        <f>AP105/AP103</f>
        <v>#DIV/0!</v>
      </c>
      <c r="AQ107" s="71"/>
      <c r="AR107" s="69"/>
      <c r="AS107" s="69"/>
      <c r="AT107" s="74" t="e">
        <f>AT105/AT103</f>
        <v>#DIV/0!</v>
      </c>
      <c r="AU107" s="74" t="e">
        <f>AU105/AU103</f>
        <v>#DIV/0!</v>
      </c>
      <c r="AV107" s="71"/>
      <c r="AW107" s="69"/>
      <c r="AX107" s="69"/>
      <c r="AY107" s="74" t="e">
        <f>AY105/AY103</f>
        <v>#DIV/0!</v>
      </c>
      <c r="AZ107" s="74" t="e">
        <f>AZ105/AZ103</f>
        <v>#DIV/0!</v>
      </c>
      <c r="BA107" s="71"/>
      <c r="BB107" s="69"/>
      <c r="BC107" s="69"/>
      <c r="BD107" s="74" t="e">
        <f>BD105/BD103</f>
        <v>#DIV/0!</v>
      </c>
      <c r="BE107" s="74" t="e">
        <f>BE105/BE103</f>
        <v>#DIV/0!</v>
      </c>
      <c r="BF107" s="71"/>
      <c r="BG107" s="69"/>
      <c r="BH107" s="69"/>
      <c r="BI107" s="74" t="e">
        <f>BI105/BI103</f>
        <v>#DIV/0!</v>
      </c>
      <c r="BJ107" s="74" t="e">
        <f>BJ105/BJ103</f>
        <v>#DIV/0!</v>
      </c>
      <c r="BK107" s="71"/>
      <c r="BL107" s="69"/>
      <c r="BM107" s="69"/>
      <c r="BN107" s="74" t="e">
        <f>BN105/BN103</f>
        <v>#DIV/0!</v>
      </c>
      <c r="BO107" s="74" t="e">
        <f>BO105/BO103</f>
        <v>#DIV/0!</v>
      </c>
      <c r="BP107" s="71"/>
      <c r="BQ107" s="69"/>
      <c r="BR107" s="69"/>
    </row>
    <row r="108" spans="1:70" ht="25.5" customHeight="1">
      <c r="A108" s="67">
        <v>17</v>
      </c>
      <c r="B108" s="115" t="s">
        <v>104</v>
      </c>
      <c r="C108" s="69"/>
      <c r="D108" s="69"/>
      <c r="E108" s="70"/>
      <c r="F108" s="71"/>
      <c r="G108" s="71"/>
      <c r="H108" s="71"/>
      <c r="I108" s="71"/>
      <c r="J108" s="112"/>
      <c r="K108" s="70"/>
      <c r="L108" s="112"/>
      <c r="M108" s="71"/>
      <c r="N108" s="69"/>
      <c r="O108" s="69"/>
      <c r="P108" s="112">
        <v>0.018</v>
      </c>
      <c r="Q108" s="112">
        <v>0.012</v>
      </c>
      <c r="R108" s="71"/>
      <c r="S108" s="69"/>
      <c r="T108" s="69"/>
      <c r="U108" s="112">
        <v>0.011</v>
      </c>
      <c r="V108" s="112">
        <v>0.017</v>
      </c>
      <c r="W108" s="71"/>
      <c r="X108" s="69"/>
      <c r="Y108" s="69"/>
      <c r="Z108" s="112"/>
      <c r="AA108" s="112">
        <v>0.016</v>
      </c>
      <c r="AB108" s="71"/>
      <c r="AC108" s="69"/>
      <c r="AD108" s="69"/>
      <c r="AE108" s="112">
        <v>0.01</v>
      </c>
      <c r="AF108" s="112">
        <v>0.014</v>
      </c>
      <c r="AG108" s="71"/>
      <c r="AH108" s="69"/>
      <c r="AI108" s="69"/>
      <c r="AJ108" s="112"/>
      <c r="AK108" s="112"/>
      <c r="AL108" s="71"/>
      <c r="AM108" s="69"/>
      <c r="AN108" s="69"/>
      <c r="AO108" s="112"/>
      <c r="AP108" s="112"/>
      <c r="AQ108" s="71"/>
      <c r="AR108" s="69"/>
      <c r="AS108" s="69"/>
      <c r="AT108" s="112"/>
      <c r="AU108" s="112"/>
      <c r="AV108" s="71"/>
      <c r="AW108" s="69"/>
      <c r="AX108" s="69"/>
      <c r="AY108" s="112"/>
      <c r="AZ108" s="112">
        <v>0.016</v>
      </c>
      <c r="BA108" s="71"/>
      <c r="BB108" s="69"/>
      <c r="BC108" s="69"/>
      <c r="BD108" s="112"/>
      <c r="BE108" s="112"/>
      <c r="BF108" s="71"/>
      <c r="BG108" s="69"/>
      <c r="BH108" s="69"/>
      <c r="BI108" s="112"/>
      <c r="BJ108" s="112"/>
      <c r="BK108" s="71"/>
      <c r="BL108" s="69"/>
      <c r="BM108" s="69"/>
      <c r="BN108" s="112"/>
      <c r="BO108" s="112"/>
      <c r="BP108" s="71"/>
      <c r="BQ108" s="69"/>
      <c r="BR108" s="69"/>
    </row>
    <row r="109" spans="1:70" ht="32.25" customHeight="1">
      <c r="A109" s="67">
        <v>18</v>
      </c>
      <c r="B109" s="68" t="s">
        <v>105</v>
      </c>
      <c r="C109" s="69"/>
      <c r="D109" s="69"/>
      <c r="E109" s="70"/>
      <c r="F109" s="71"/>
      <c r="G109" s="71"/>
      <c r="H109" s="71"/>
      <c r="I109" s="71"/>
      <c r="J109" s="73">
        <v>25760</v>
      </c>
      <c r="K109" s="73"/>
      <c r="L109" s="73">
        <v>18132</v>
      </c>
      <c r="M109" s="116">
        <f>J109/L109</f>
        <v>1.4206926979924994</v>
      </c>
      <c r="N109" s="69"/>
      <c r="O109" s="69"/>
      <c r="P109" s="73">
        <v>65191</v>
      </c>
      <c r="Q109" s="73">
        <v>43111</v>
      </c>
      <c r="R109" s="116">
        <f>P109/Q109</f>
        <v>1.512166268469764</v>
      </c>
      <c r="S109" s="69"/>
      <c r="T109" s="69"/>
      <c r="U109" s="73">
        <v>86134</v>
      </c>
      <c r="V109" s="73">
        <v>55853</v>
      </c>
      <c r="W109" s="116">
        <f>U109/V109</f>
        <v>1.5421553005210105</v>
      </c>
      <c r="X109" s="69"/>
      <c r="Y109" s="69"/>
      <c r="Z109" s="73">
        <v>113334</v>
      </c>
      <c r="AA109" s="73">
        <v>92223</v>
      </c>
      <c r="AB109" s="116">
        <f>Z109/AA109</f>
        <v>1.2289125272437462</v>
      </c>
      <c r="AC109" s="69"/>
      <c r="AD109" s="69"/>
      <c r="AE109" s="73">
        <v>142860</v>
      </c>
      <c r="AF109" s="73">
        <v>127321</v>
      </c>
      <c r="AG109" s="116">
        <f>AE109/AF109</f>
        <v>1.1220458526087604</v>
      </c>
      <c r="AH109" s="69"/>
      <c r="AI109" s="69"/>
      <c r="AJ109" s="73">
        <v>176556</v>
      </c>
      <c r="AK109" s="73">
        <v>172484</v>
      </c>
      <c r="AL109" s="116">
        <f>AJ109/AK109</f>
        <v>1.0236079868277637</v>
      </c>
      <c r="AM109" s="69"/>
      <c r="AN109" s="69"/>
      <c r="AO109" s="73"/>
      <c r="AP109" s="73"/>
      <c r="AQ109" s="116" t="e">
        <f>AO109/AP109</f>
        <v>#DIV/0!</v>
      </c>
      <c r="AR109" s="69"/>
      <c r="AS109" s="69"/>
      <c r="AT109" s="73"/>
      <c r="AU109" s="73"/>
      <c r="AV109" s="116" t="e">
        <f>AT109/AU109</f>
        <v>#DIV/0!</v>
      </c>
      <c r="AW109" s="69"/>
      <c r="AX109" s="69"/>
      <c r="AY109" s="73"/>
      <c r="AZ109" s="73"/>
      <c r="BA109" s="116" t="e">
        <f>AY109/AZ109</f>
        <v>#DIV/0!</v>
      </c>
      <c r="BB109" s="69"/>
      <c r="BC109" s="69"/>
      <c r="BD109" s="73"/>
      <c r="BE109" s="73"/>
      <c r="BF109" s="116" t="e">
        <f>BD109/BE109</f>
        <v>#DIV/0!</v>
      </c>
      <c r="BG109" s="69"/>
      <c r="BH109" s="69"/>
      <c r="BI109" s="73"/>
      <c r="BJ109" s="73"/>
      <c r="BK109" s="116" t="e">
        <f>BI109/BJ109</f>
        <v>#DIV/0!</v>
      </c>
      <c r="BL109" s="69"/>
      <c r="BM109" s="69"/>
      <c r="BN109" s="73"/>
      <c r="BO109" s="73"/>
      <c r="BP109" s="116" t="e">
        <f>BN109/BO109</f>
        <v>#DIV/0!</v>
      </c>
      <c r="BQ109" s="69"/>
      <c r="BR109" s="69"/>
    </row>
    <row r="110" spans="1:70" ht="33.75" customHeight="1">
      <c r="A110" s="117">
        <v>19</v>
      </c>
      <c r="B110" s="118" t="s">
        <v>106</v>
      </c>
      <c r="C110" s="119"/>
      <c r="D110" s="119"/>
      <c r="E110" s="120"/>
      <c r="F110" s="121"/>
      <c r="G110" s="121"/>
      <c r="H110" s="121"/>
      <c r="I110" s="121"/>
      <c r="J110" s="122">
        <f>SUM(J112:J114)</f>
        <v>94108</v>
      </c>
      <c r="K110" s="122"/>
      <c r="L110" s="123">
        <f>SUM(L112:L114)</f>
        <v>69519</v>
      </c>
      <c r="M110" s="124">
        <f>J110/L110</f>
        <v>1.3537018656770092</v>
      </c>
      <c r="N110" s="119"/>
      <c r="O110" s="119"/>
      <c r="P110" s="122">
        <f>SUM(P112:P114)</f>
        <v>200282</v>
      </c>
      <c r="Q110" s="122">
        <f>SUM(Q112:Q114)</f>
        <v>148340</v>
      </c>
      <c r="R110" s="124">
        <f>P110/Q110</f>
        <v>1.3501550492112715</v>
      </c>
      <c r="S110" s="119"/>
      <c r="T110" s="119"/>
      <c r="U110" s="122">
        <f>SUM(U112:U114)</f>
        <v>1457103.5</v>
      </c>
      <c r="V110" s="122">
        <f>SUM(V112:V114)</f>
        <v>1305960.2</v>
      </c>
      <c r="W110" s="124">
        <f>U110/V110</f>
        <v>1.1157334656906084</v>
      </c>
      <c r="X110" s="119"/>
      <c r="Y110" s="119"/>
      <c r="Z110" s="122">
        <f>SUM(Z112:Z114)</f>
        <v>422818</v>
      </c>
      <c r="AA110" s="122">
        <f>SUM(AA112:AA114)</f>
        <v>328178</v>
      </c>
      <c r="AB110" s="124">
        <f>Z110/AA110</f>
        <v>1.2883800864165178</v>
      </c>
      <c r="AC110" s="119"/>
      <c r="AD110" s="119"/>
      <c r="AE110" s="122">
        <f>SUM(AE112:AE114)</f>
        <v>539087</v>
      </c>
      <c r="AF110" s="122">
        <f>SUM(AF112:AF114)</f>
        <v>424224</v>
      </c>
      <c r="AG110" s="124">
        <f>AE110/AF110</f>
        <v>1.2707602587312363</v>
      </c>
      <c r="AH110" s="119"/>
      <c r="AI110" s="119"/>
      <c r="AJ110" s="122">
        <f>SUM(AJ112:AJ114)</f>
        <v>2947361.9</v>
      </c>
      <c r="AK110" s="123">
        <f>SUM(AK112:AK114)</f>
        <v>2737076.1</v>
      </c>
      <c r="AL110" s="124">
        <f>AJ110/AK110</f>
        <v>1.076828627453946</v>
      </c>
      <c r="AM110" s="119"/>
      <c r="AN110" s="119"/>
      <c r="AO110" s="122"/>
      <c r="AP110" s="123"/>
      <c r="AQ110" s="124" t="e">
        <f>AO110/AP110</f>
        <v>#DIV/0!</v>
      </c>
      <c r="AR110" s="119"/>
      <c r="AS110" s="119"/>
      <c r="AT110" s="122">
        <f>SUM(AT112:AT114)</f>
        <v>0</v>
      </c>
      <c r="AU110" s="122">
        <f>SUM(AU112:AU114)</f>
        <v>0</v>
      </c>
      <c r="AV110" s="124" t="e">
        <f>AT110/AU112</f>
        <v>#DIV/0!</v>
      </c>
      <c r="AW110" s="119"/>
      <c r="AX110" s="119"/>
      <c r="AY110" s="122">
        <f>SUM(AY112:AY114)</f>
        <v>0</v>
      </c>
      <c r="AZ110" s="122">
        <f>SUM(AZ112:AZ114)</f>
        <v>0</v>
      </c>
      <c r="BA110" s="124" t="e">
        <f>AY110/AZ110</f>
        <v>#DIV/0!</v>
      </c>
      <c r="BB110" s="119"/>
      <c r="BC110" s="119"/>
      <c r="BD110" s="122">
        <f>SUM(BD112:BD114)</f>
        <v>0</v>
      </c>
      <c r="BE110" s="122">
        <f>SUM(BE112:BE114)</f>
        <v>0</v>
      </c>
      <c r="BF110" s="124" t="e">
        <f>BD110/BE110</f>
        <v>#DIV/0!</v>
      </c>
      <c r="BG110" s="119"/>
      <c r="BH110" s="119"/>
      <c r="BI110" s="122">
        <f>SUM(BI112:BI114)</f>
        <v>0</v>
      </c>
      <c r="BJ110" s="122">
        <f>SUM(BJ112:BJ114)</f>
        <v>0</v>
      </c>
      <c r="BK110" s="124" t="e">
        <f>BI110/BJ110</f>
        <v>#DIV/0!</v>
      </c>
      <c r="BL110" s="119"/>
      <c r="BM110" s="119"/>
      <c r="BN110" s="122">
        <f>SUM(BN112:BN114)</f>
        <v>0</v>
      </c>
      <c r="BO110" s="122">
        <f>SUM(BO112:BO114)</f>
        <v>0</v>
      </c>
      <c r="BP110" s="124" t="e">
        <f>BN110/BO110</f>
        <v>#DIV/0!</v>
      </c>
      <c r="BQ110" s="119"/>
      <c r="BR110" s="119"/>
    </row>
    <row r="111" spans="1:70" ht="18" customHeight="1">
      <c r="A111" s="125"/>
      <c r="B111" s="78" t="s">
        <v>89</v>
      </c>
      <c r="C111" s="126"/>
      <c r="D111" s="126"/>
      <c r="E111" s="127"/>
      <c r="F111" s="128"/>
      <c r="G111" s="128"/>
      <c r="H111" s="128"/>
      <c r="I111" s="128"/>
      <c r="J111" s="129"/>
      <c r="K111" s="129"/>
      <c r="L111" s="129"/>
      <c r="M111" s="130"/>
      <c r="N111" s="126"/>
      <c r="O111" s="126"/>
      <c r="P111" s="129"/>
      <c r="Q111" s="129"/>
      <c r="R111" s="130"/>
      <c r="S111" s="126"/>
      <c r="T111" s="126"/>
      <c r="U111" s="131"/>
      <c r="V111" s="132"/>
      <c r="W111" s="130"/>
      <c r="X111" s="126"/>
      <c r="Y111" s="126"/>
      <c r="Z111" s="131"/>
      <c r="AA111" s="132"/>
      <c r="AB111" s="130"/>
      <c r="AC111" s="126"/>
      <c r="AD111" s="126"/>
      <c r="AE111" s="131"/>
      <c r="AF111" s="132"/>
      <c r="AG111" s="130"/>
      <c r="AH111" s="126"/>
      <c r="AI111" s="126"/>
      <c r="AJ111" s="129"/>
      <c r="AK111" s="129"/>
      <c r="AL111" s="130"/>
      <c r="AM111" s="126"/>
      <c r="AN111" s="126"/>
      <c r="AO111" s="129"/>
      <c r="AP111" s="129"/>
      <c r="AQ111" s="130"/>
      <c r="AR111" s="126"/>
      <c r="AS111" s="126"/>
      <c r="AT111" s="131"/>
      <c r="AU111" s="132"/>
      <c r="AV111" s="130"/>
      <c r="AW111" s="126"/>
      <c r="AX111" s="126"/>
      <c r="AY111" s="131"/>
      <c r="AZ111" s="132"/>
      <c r="BA111" s="130"/>
      <c r="BB111" s="126"/>
      <c r="BC111" s="126"/>
      <c r="BD111" s="131"/>
      <c r="BE111" s="132"/>
      <c r="BF111" s="130"/>
      <c r="BG111" s="126"/>
      <c r="BH111" s="126"/>
      <c r="BI111" s="131"/>
      <c r="BJ111" s="132"/>
      <c r="BK111" s="130"/>
      <c r="BL111" s="126"/>
      <c r="BM111" s="126"/>
      <c r="BN111" s="131"/>
      <c r="BO111" s="132"/>
      <c r="BP111" s="130"/>
      <c r="BQ111" s="126"/>
      <c r="BR111" s="126"/>
    </row>
    <row r="112" spans="1:70" ht="12" customHeight="1">
      <c r="A112" s="125"/>
      <c r="B112" s="78" t="s">
        <v>107</v>
      </c>
      <c r="C112" s="126"/>
      <c r="D112" s="126"/>
      <c r="E112" s="127"/>
      <c r="F112" s="128"/>
      <c r="G112" s="128"/>
      <c r="H112" s="128"/>
      <c r="I112" s="128"/>
      <c r="J112" s="129">
        <v>94108</v>
      </c>
      <c r="K112" s="129"/>
      <c r="L112" s="129">
        <v>69519</v>
      </c>
      <c r="M112" s="130">
        <f>J112/L112</f>
        <v>1.3537018656770092</v>
      </c>
      <c r="N112" s="126"/>
      <c r="O112" s="126"/>
      <c r="P112" s="129">
        <v>200282</v>
      </c>
      <c r="Q112" s="129">
        <v>148340</v>
      </c>
      <c r="R112" s="130">
        <f>P112/Q112</f>
        <v>1.3501550492112715</v>
      </c>
      <c r="S112" s="126"/>
      <c r="T112" s="126"/>
      <c r="U112" s="131">
        <v>382467.3</v>
      </c>
      <c r="V112" s="133">
        <v>281718.7</v>
      </c>
      <c r="W112" s="130">
        <f>U112/V112</f>
        <v>1.3576212725672807</v>
      </c>
      <c r="X112" s="126"/>
      <c r="Y112" s="126"/>
      <c r="Z112" s="131">
        <v>422818</v>
      </c>
      <c r="AA112" s="133">
        <v>328178</v>
      </c>
      <c r="AB112" s="130">
        <f>Z112/AA112</f>
        <v>1.2883800864165178</v>
      </c>
      <c r="AC112" s="126"/>
      <c r="AD112" s="126"/>
      <c r="AE112" s="131">
        <v>539087</v>
      </c>
      <c r="AF112" s="133">
        <v>424224</v>
      </c>
      <c r="AG112" s="130">
        <f>AE112/AF112</f>
        <v>1.2707602587312363</v>
      </c>
      <c r="AH112" s="126"/>
      <c r="AI112" s="126"/>
      <c r="AJ112" s="129">
        <v>808384.3</v>
      </c>
      <c r="AK112" s="129">
        <v>612062.8</v>
      </c>
      <c r="AL112" s="130">
        <f>AJ112/AK112</f>
        <v>1.3207538507486487</v>
      </c>
      <c r="AM112" s="126"/>
      <c r="AN112" s="126"/>
      <c r="AO112" s="129"/>
      <c r="AP112" s="129"/>
      <c r="AQ112" s="130" t="e">
        <f>AO112/AP112</f>
        <v>#DIV/0!</v>
      </c>
      <c r="AR112" s="126"/>
      <c r="AS112" s="126"/>
      <c r="AT112" s="131"/>
      <c r="AU112" s="133"/>
      <c r="AV112" s="130" t="e">
        <f>AT112/AU112</f>
        <v>#DIV/0!</v>
      </c>
      <c r="AW112" s="126"/>
      <c r="AX112" s="126"/>
      <c r="AY112" s="131"/>
      <c r="AZ112" s="133"/>
      <c r="BA112" s="130" t="e">
        <f>AY112/AZ112</f>
        <v>#DIV/0!</v>
      </c>
      <c r="BB112" s="126"/>
      <c r="BC112" s="126"/>
      <c r="BD112" s="131"/>
      <c r="BE112" s="133"/>
      <c r="BF112" s="130" t="e">
        <f>BD112/BE112</f>
        <v>#DIV/0!</v>
      </c>
      <c r="BG112" s="126"/>
      <c r="BH112" s="126"/>
      <c r="BI112" s="131"/>
      <c r="BJ112" s="133"/>
      <c r="BK112" s="130" t="e">
        <f>BI112/BJ112</f>
        <v>#DIV/0!</v>
      </c>
      <c r="BL112" s="126"/>
      <c r="BM112" s="126"/>
      <c r="BN112" s="131"/>
      <c r="BO112" s="133"/>
      <c r="BP112" s="130" t="e">
        <f>BN112/BO112</f>
        <v>#DIV/0!</v>
      </c>
      <c r="BQ112" s="126"/>
      <c r="BR112" s="126"/>
    </row>
    <row r="113" spans="1:70" ht="24.75" customHeight="1">
      <c r="A113" s="125"/>
      <c r="B113" s="78" t="s">
        <v>108</v>
      </c>
      <c r="C113" s="126"/>
      <c r="D113" s="126"/>
      <c r="E113" s="127"/>
      <c r="F113" s="128"/>
      <c r="G113" s="128"/>
      <c r="H113" s="128"/>
      <c r="I113" s="128"/>
      <c r="J113" s="129"/>
      <c r="K113" s="129"/>
      <c r="L113" s="129"/>
      <c r="M113" s="130" t="e">
        <f>J113/L113</f>
        <v>#DIV/0!</v>
      </c>
      <c r="N113" s="126"/>
      <c r="O113" s="126"/>
      <c r="P113" s="129"/>
      <c r="Q113" s="129"/>
      <c r="R113" s="130" t="e">
        <f>P113/Q113</f>
        <v>#DIV/0!</v>
      </c>
      <c r="S113" s="126"/>
      <c r="T113" s="126"/>
      <c r="U113" s="129">
        <v>798930.3</v>
      </c>
      <c r="V113" s="129">
        <v>754404.7</v>
      </c>
      <c r="W113" s="130">
        <f>U113/V113</f>
        <v>1.059020841201016</v>
      </c>
      <c r="X113" s="126"/>
      <c r="Y113" s="126"/>
      <c r="Z113" s="129"/>
      <c r="AA113" s="129"/>
      <c r="AB113" s="130" t="e">
        <f>Z113/AA113</f>
        <v>#DIV/0!</v>
      </c>
      <c r="AC113" s="126"/>
      <c r="AD113" s="126"/>
      <c r="AE113" s="129"/>
      <c r="AF113" s="129"/>
      <c r="AG113" s="130" t="e">
        <f>AE113/AF113</f>
        <v>#DIV/0!</v>
      </c>
      <c r="AH113" s="126"/>
      <c r="AI113" s="126"/>
      <c r="AJ113" s="129">
        <v>1793542.5</v>
      </c>
      <c r="AK113" s="129">
        <v>1566199.2</v>
      </c>
      <c r="AL113" s="130">
        <f>AJ113/AK113</f>
        <v>1.1451560567774521</v>
      </c>
      <c r="AM113" s="126"/>
      <c r="AN113" s="126"/>
      <c r="AO113" s="129"/>
      <c r="AP113" s="129"/>
      <c r="AQ113" s="130" t="e">
        <f>AO113/AP113</f>
        <v>#DIV/0!</v>
      </c>
      <c r="AR113" s="126"/>
      <c r="AS113" s="126"/>
      <c r="AT113" s="129"/>
      <c r="AU113" s="129"/>
      <c r="AV113" s="130" t="e">
        <f>AT113/AU113</f>
        <v>#DIV/0!</v>
      </c>
      <c r="AW113" s="126"/>
      <c r="AX113" s="126"/>
      <c r="AY113" s="129"/>
      <c r="AZ113" s="129"/>
      <c r="BA113" s="130" t="e">
        <f>AY113/AZ113</f>
        <v>#DIV/0!</v>
      </c>
      <c r="BB113" s="126"/>
      <c r="BC113" s="126"/>
      <c r="BD113" s="129"/>
      <c r="BE113" s="129"/>
      <c r="BF113" s="130" t="e">
        <f>BD113/BE113</f>
        <v>#DIV/0!</v>
      </c>
      <c r="BG113" s="126"/>
      <c r="BH113" s="126"/>
      <c r="BI113" s="129"/>
      <c r="BJ113" s="129"/>
      <c r="BK113" s="130" t="e">
        <f>BI113/BJ113</f>
        <v>#DIV/0!</v>
      </c>
      <c r="BL113" s="126"/>
      <c r="BM113" s="126"/>
      <c r="BN113" s="129"/>
      <c r="BO113" s="129"/>
      <c r="BP113" s="130" t="e">
        <f>BN113/BO113</f>
        <v>#DIV/0!</v>
      </c>
      <c r="BQ113" s="126"/>
      <c r="BR113" s="126"/>
    </row>
    <row r="114" spans="1:70" ht="17.25" customHeight="1">
      <c r="A114" s="134"/>
      <c r="B114" s="135" t="s">
        <v>109</v>
      </c>
      <c r="C114" s="136"/>
      <c r="D114" s="136"/>
      <c r="E114" s="137"/>
      <c r="F114" s="138"/>
      <c r="G114" s="138"/>
      <c r="H114" s="138"/>
      <c r="I114" s="138"/>
      <c r="J114" s="139"/>
      <c r="K114" s="139"/>
      <c r="L114" s="140"/>
      <c r="M114" s="130" t="e">
        <f>J114/L114</f>
        <v>#DIV/0!</v>
      </c>
      <c r="N114" s="136"/>
      <c r="O114" s="136"/>
      <c r="P114" s="139"/>
      <c r="Q114" s="140"/>
      <c r="R114" s="130" t="e">
        <f>P114/Q114</f>
        <v>#DIV/0!</v>
      </c>
      <c r="S114" s="136"/>
      <c r="T114" s="136"/>
      <c r="U114" s="139">
        <v>275705.9</v>
      </c>
      <c r="V114" s="140">
        <v>269836.8</v>
      </c>
      <c r="W114" s="130">
        <f>U114/V114</f>
        <v>1.0217505544091838</v>
      </c>
      <c r="X114" s="136"/>
      <c r="Y114" s="136"/>
      <c r="Z114" s="139"/>
      <c r="AA114" s="140"/>
      <c r="AB114" s="130" t="e">
        <f>Z114/AA114</f>
        <v>#DIV/0!</v>
      </c>
      <c r="AC114" s="136"/>
      <c r="AD114" s="136"/>
      <c r="AE114" s="139"/>
      <c r="AF114" s="140"/>
      <c r="AG114" s="130" t="e">
        <f>AE114/AF114</f>
        <v>#DIV/0!</v>
      </c>
      <c r="AH114" s="136"/>
      <c r="AI114" s="136"/>
      <c r="AJ114" s="139">
        <v>345435.1</v>
      </c>
      <c r="AK114" s="140">
        <v>558814.1</v>
      </c>
      <c r="AL114" s="130">
        <f>AJ114/AK114</f>
        <v>0.618157451646263</v>
      </c>
      <c r="AM114" s="136"/>
      <c r="AN114" s="136"/>
      <c r="AO114" s="139"/>
      <c r="AP114" s="140"/>
      <c r="AQ114" s="130" t="e">
        <f>AO114/AP114</f>
        <v>#DIV/0!</v>
      </c>
      <c r="AR114" s="136"/>
      <c r="AS114" s="136"/>
      <c r="AT114" s="139"/>
      <c r="AU114" s="140"/>
      <c r="AV114" s="130" t="e">
        <f>AT114/AU114</f>
        <v>#DIV/0!</v>
      </c>
      <c r="AW114" s="136"/>
      <c r="AX114" s="136"/>
      <c r="AY114" s="139"/>
      <c r="AZ114" s="140"/>
      <c r="BA114" s="130" t="e">
        <f>AY114/AZ114</f>
        <v>#DIV/0!</v>
      </c>
      <c r="BB114" s="136"/>
      <c r="BC114" s="136"/>
      <c r="BD114" s="139"/>
      <c r="BE114" s="140"/>
      <c r="BF114" s="130" t="e">
        <f>BD114/BE114</f>
        <v>#DIV/0!</v>
      </c>
      <c r="BG114" s="136"/>
      <c r="BH114" s="136"/>
      <c r="BI114" s="139"/>
      <c r="BJ114" s="140"/>
      <c r="BK114" s="130" t="e">
        <f>BI114/BJ114</f>
        <v>#DIV/0!</v>
      </c>
      <c r="BL114" s="136"/>
      <c r="BM114" s="136"/>
      <c r="BN114" s="139"/>
      <c r="BO114" s="140"/>
      <c r="BP114" s="130" t="e">
        <f>BN114/BO114</f>
        <v>#DIV/0!</v>
      </c>
      <c r="BQ114" s="136"/>
      <c r="BR114" s="136"/>
    </row>
    <row r="115" spans="1:70" ht="31.5" customHeight="1">
      <c r="A115" s="67">
        <v>20</v>
      </c>
      <c r="B115" s="68" t="s">
        <v>110</v>
      </c>
      <c r="C115" s="69"/>
      <c r="D115" s="69"/>
      <c r="E115" s="70"/>
      <c r="F115" s="71"/>
      <c r="G115" s="71"/>
      <c r="H115" s="71"/>
      <c r="I115" s="71"/>
      <c r="J115" s="73"/>
      <c r="K115" s="73"/>
      <c r="L115" s="141"/>
      <c r="M115" s="116" t="e">
        <f>J115/L115</f>
        <v>#DIV/0!</v>
      </c>
      <c r="N115" s="69"/>
      <c r="O115" s="69"/>
      <c r="P115" s="73">
        <v>4489</v>
      </c>
      <c r="Q115" s="141">
        <v>3244</v>
      </c>
      <c r="R115" s="116">
        <f>P115/Q115</f>
        <v>1.3837854500616522</v>
      </c>
      <c r="S115" s="69"/>
      <c r="T115" s="69"/>
      <c r="U115" s="73">
        <v>29362.6</v>
      </c>
      <c r="V115" s="141">
        <v>25995.5</v>
      </c>
      <c r="W115" s="116">
        <f>U115/V115</f>
        <v>1.1295262641611048</v>
      </c>
      <c r="X115" s="69"/>
      <c r="Y115" s="69"/>
      <c r="Z115" s="73">
        <v>9733</v>
      </c>
      <c r="AA115" s="141">
        <v>6680</v>
      </c>
      <c r="AB115" s="116">
        <f>Z115/AA115</f>
        <v>1.4570359281437126</v>
      </c>
      <c r="AC115" s="69"/>
      <c r="AD115" s="69"/>
      <c r="AE115" s="73">
        <v>11383</v>
      </c>
      <c r="AF115" s="141">
        <v>8061</v>
      </c>
      <c r="AG115" s="116">
        <f>AE115/AF115</f>
        <v>1.4121076789480214</v>
      </c>
      <c r="AH115" s="69"/>
      <c r="AI115" s="69"/>
      <c r="AJ115" s="73">
        <v>51201.9</v>
      </c>
      <c r="AK115" s="141">
        <v>45311.2</v>
      </c>
      <c r="AL115" s="116">
        <f>AJ115/AK115</f>
        <v>1.1300053849820797</v>
      </c>
      <c r="AM115" s="69"/>
      <c r="AN115" s="69"/>
      <c r="AO115" s="73"/>
      <c r="AP115" s="141"/>
      <c r="AQ115" s="116" t="e">
        <f>AO115/AP115</f>
        <v>#DIV/0!</v>
      </c>
      <c r="AR115" s="69"/>
      <c r="AS115" s="69"/>
      <c r="AT115" s="73"/>
      <c r="AU115" s="141"/>
      <c r="AV115" s="116" t="e">
        <f>AT115/AU115</f>
        <v>#DIV/0!</v>
      </c>
      <c r="AW115" s="69"/>
      <c r="AX115" s="69"/>
      <c r="AY115" s="73"/>
      <c r="AZ115" s="141"/>
      <c r="BA115" s="116" t="e">
        <f>AY115/AZ115</f>
        <v>#DIV/0!</v>
      </c>
      <c r="BB115" s="69"/>
      <c r="BC115" s="69"/>
      <c r="BD115" s="73"/>
      <c r="BE115" s="141"/>
      <c r="BF115" s="116" t="e">
        <f>BD115/BE115</f>
        <v>#DIV/0!</v>
      </c>
      <c r="BG115" s="69"/>
      <c r="BH115" s="69"/>
      <c r="BI115" s="73"/>
      <c r="BJ115" s="141"/>
      <c r="BK115" s="116" t="e">
        <f>BI115/BJ115</f>
        <v>#DIV/0!</v>
      </c>
      <c r="BL115" s="69"/>
      <c r="BM115" s="69"/>
      <c r="BN115" s="73"/>
      <c r="BO115" s="141"/>
      <c r="BP115" s="116" t="e">
        <f>BN115/BO115</f>
        <v>#DIV/0!</v>
      </c>
      <c r="BQ115" s="69"/>
      <c r="BR115" s="69"/>
    </row>
    <row r="116" spans="1:70" ht="33.75" customHeight="1">
      <c r="A116" s="67">
        <v>21</v>
      </c>
      <c r="B116" s="68" t="s">
        <v>111</v>
      </c>
      <c r="C116" s="69"/>
      <c r="D116" s="69"/>
      <c r="E116" s="70"/>
      <c r="F116" s="71"/>
      <c r="G116" s="71"/>
      <c r="H116" s="71"/>
      <c r="I116" s="71"/>
      <c r="J116" s="74"/>
      <c r="K116" s="74">
        <v>1.079</v>
      </c>
      <c r="L116" s="74"/>
      <c r="M116" s="71"/>
      <c r="N116" s="69"/>
      <c r="O116" s="69"/>
      <c r="P116" s="74"/>
      <c r="Q116" s="74"/>
      <c r="R116" s="71"/>
      <c r="S116" s="69"/>
      <c r="T116" s="69"/>
      <c r="U116" s="74">
        <v>1.047</v>
      </c>
      <c r="V116" s="74">
        <v>1.063</v>
      </c>
      <c r="W116" s="71"/>
      <c r="X116" s="69"/>
      <c r="Y116" s="69"/>
      <c r="Z116" s="74"/>
      <c r="AA116" s="74"/>
      <c r="AB116" s="71"/>
      <c r="AC116" s="69"/>
      <c r="AD116" s="69"/>
      <c r="AE116" s="74"/>
      <c r="AF116" s="74"/>
      <c r="AG116" s="71"/>
      <c r="AH116" s="69"/>
      <c r="AI116" s="69"/>
      <c r="AJ116" s="74">
        <v>1.009</v>
      </c>
      <c r="AK116" s="74">
        <v>1.079</v>
      </c>
      <c r="AL116" s="71"/>
      <c r="AM116" s="69"/>
      <c r="AN116" s="69"/>
      <c r="AO116" s="74"/>
      <c r="AP116" s="74"/>
      <c r="AQ116" s="71"/>
      <c r="AR116" s="69"/>
      <c r="AS116" s="69"/>
      <c r="AT116" s="74"/>
      <c r="AU116" s="74"/>
      <c r="AV116" s="71"/>
      <c r="AW116" s="69"/>
      <c r="AX116" s="69"/>
      <c r="AY116" s="74"/>
      <c r="AZ116" s="74"/>
      <c r="BA116" s="71"/>
      <c r="BB116" s="69"/>
      <c r="BC116" s="69"/>
      <c r="BD116" s="74"/>
      <c r="BE116" s="74"/>
      <c r="BF116" s="71"/>
      <c r="BG116" s="69"/>
      <c r="BH116" s="69"/>
      <c r="BI116" s="74"/>
      <c r="BJ116" s="74"/>
      <c r="BK116" s="71"/>
      <c r="BL116" s="69"/>
      <c r="BM116" s="69"/>
      <c r="BN116" s="74"/>
      <c r="BO116" s="74"/>
      <c r="BP116" s="71"/>
      <c r="BQ116" s="69"/>
      <c r="BR116" s="69"/>
    </row>
    <row r="117" spans="1:70" ht="33" customHeight="1">
      <c r="A117" s="67">
        <v>22</v>
      </c>
      <c r="B117" s="68" t="s">
        <v>112</v>
      </c>
      <c r="J117" s="74"/>
      <c r="L117" s="74"/>
      <c r="M117" s="71"/>
      <c r="N117" s="69"/>
      <c r="O117" s="69"/>
      <c r="P117" s="74"/>
      <c r="Q117" s="74"/>
      <c r="R117" s="71"/>
      <c r="S117" s="69"/>
      <c r="T117" s="69"/>
      <c r="U117" s="74">
        <v>1.087</v>
      </c>
      <c r="V117" s="74">
        <v>0.96</v>
      </c>
      <c r="W117" s="71"/>
      <c r="X117" s="69"/>
      <c r="Y117" s="69"/>
      <c r="Z117" s="74"/>
      <c r="AA117" s="74"/>
      <c r="AB117" s="71"/>
      <c r="AC117" s="69"/>
      <c r="AD117" s="69"/>
      <c r="AE117" s="74"/>
      <c r="AF117" s="74"/>
      <c r="AG117" s="71"/>
      <c r="AH117" s="69"/>
      <c r="AI117" s="69"/>
      <c r="AJ117" s="74">
        <v>1.094</v>
      </c>
      <c r="AK117" s="74">
        <v>1.001</v>
      </c>
      <c r="AL117" s="71"/>
      <c r="AM117" s="69"/>
      <c r="AN117" s="69"/>
      <c r="AO117" s="74"/>
      <c r="AP117" s="74"/>
      <c r="AQ117" s="71"/>
      <c r="AR117" s="69"/>
      <c r="AS117" s="69"/>
      <c r="AT117" s="74"/>
      <c r="AU117" s="74"/>
      <c r="AV117" s="71"/>
      <c r="AW117" s="69"/>
      <c r="AX117" s="69"/>
      <c r="AY117" s="74"/>
      <c r="AZ117" s="74"/>
      <c r="BA117" s="71"/>
      <c r="BB117" s="69"/>
      <c r="BC117" s="69"/>
      <c r="BD117" s="74"/>
      <c r="BE117" s="74"/>
      <c r="BF117" s="71"/>
      <c r="BG117" s="69"/>
      <c r="BH117" s="69"/>
      <c r="BI117" s="74"/>
      <c r="BJ117" s="74"/>
      <c r="BK117" s="71"/>
      <c r="BL117" s="69"/>
      <c r="BM117" s="69"/>
      <c r="BN117" s="74"/>
      <c r="BO117" s="74"/>
      <c r="BP117" s="71"/>
      <c r="BQ117" s="69"/>
      <c r="BR117" s="69"/>
    </row>
    <row r="120" spans="2:13" ht="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 ht="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 ht="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 ht="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 ht="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 ht="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 ht="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2:13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2:13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2:13" ht="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2:13" ht="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2:13" ht="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2:13" ht="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2:13" ht="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2:13" ht="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2:13" ht="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2:13" ht="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2:13" ht="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2:13" ht="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2:13" ht="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2:13" ht="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2:13" ht="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2:13" ht="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2:13" ht="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2:13" ht="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2:13" ht="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2:13" ht="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2:13" ht="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2:13" ht="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2:13" ht="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2:13" ht="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2:13" ht="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2:13" ht="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2:13" ht="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2:13" ht="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2:13" ht="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2:13" ht="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2:13" ht="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2:13" ht="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2:13" ht="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2:13" ht="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2:13" ht="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2:13" ht="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2:13" ht="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2:13" ht="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2:13" ht="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2:13" ht="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2:13" ht="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2:13" ht="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2:13" ht="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2:13" ht="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2:13" ht="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2:13" ht="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2:13" ht="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2:13" ht="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2:13" ht="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2:13" ht="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2:13" ht="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2:13" ht="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2:13" ht="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2:13" ht="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2:13" ht="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2:13" ht="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2:13" ht="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2:13" ht="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2:13" ht="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2:13" ht="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2:13" ht="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2:13" ht="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2:13" ht="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2:13" ht="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2:13" ht="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2:13" ht="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2:13" ht="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2:13" ht="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2:13" ht="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2:13" ht="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2:13" ht="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2:13" ht="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2:13" ht="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2:13" ht="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2:13" ht="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2:13" ht="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2:13" ht="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2:13" ht="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2:13" ht="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2:13" ht="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2:13" ht="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2:13" ht="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2:13" ht="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2:13" ht="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2:13" ht="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2:13" ht="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2:13" ht="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2:13" ht="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2:13" ht="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2:13" ht="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2:13" ht="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2:13" ht="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2:13" ht="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2:13" ht="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2:13" ht="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2:13" ht="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2:13" ht="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5" spans="2:13" ht="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2:13" ht="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2:13" ht="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2:13" ht="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2:13" ht="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2:13" ht="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2:13" ht="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2:13" ht="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2:13" ht="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2:13" ht="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2:13" ht="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2:13" ht="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2:13" ht="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2:13" ht="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2:13" ht="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2:13" ht="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2:13" ht="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2:13" ht="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2:13" ht="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2:13" ht="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2:13" ht="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2:13" ht="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2:13" ht="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2:13" ht="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2:13" ht="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2:13" ht="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2:13" ht="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2:13" ht="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2:13" ht="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2:13" ht="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2:13" ht="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2:13" ht="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2:13" ht="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2:13" ht="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2:13" ht="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2:13" ht="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2:13" ht="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2:13" ht="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2:13" ht="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2:13" ht="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2:13" ht="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2:13" ht="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2:13" ht="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2:13" ht="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2:13" ht="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2:13" ht="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2:13" ht="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2:13" ht="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2:13" ht="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2:13" ht="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2:13" ht="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2:13" ht="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2:13" ht="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2:13" ht="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2:13" ht="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2:13" ht="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2:13" ht="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2:13" ht="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2:13" ht="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2:13" ht="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2:13" ht="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2:13" ht="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2:13" ht="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2:13" ht="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2:13" ht="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2:13" ht="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2:13" ht="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2:13" ht="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2:13" ht="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2:13" ht="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2:13" ht="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2:13" ht="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2:13" ht="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2:13" ht="1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2:13" ht="1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2:13" ht="1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2:13" ht="1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2:13" ht="1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2:13" ht="1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2:13" ht="1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2:13" ht="1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2:13" ht="1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2:13" ht="1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2:13" ht="1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2:13" ht="1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2:13" ht="1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2:13" ht="1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2:13" ht="1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2:13" ht="1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2:13" ht="1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2:13" ht="1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2:13" ht="1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2:13" ht="1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2:13" ht="1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2:13" ht="1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2:13" ht="1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2:13" ht="1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2:13" ht="1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2:13" ht="1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2:13" ht="1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2:13" ht="1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2:13" ht="1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2:13" ht="1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2:13" ht="1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2:13" ht="1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</sheetData>
  <sheetProtection/>
  <mergeCells count="60">
    <mergeCell ref="N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O3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D3"/>
    <mergeCell ref="AE3:AE4"/>
    <mergeCell ref="AF3:AF4"/>
    <mergeCell ref="AG3:AG4"/>
    <mergeCell ref="AH3:AI3"/>
    <mergeCell ref="AJ3:AJ4"/>
    <mergeCell ref="AK3:AK4"/>
    <mergeCell ref="AZ3:AZ4"/>
    <mergeCell ref="AL3:AL4"/>
    <mergeCell ref="AM3:AN3"/>
    <mergeCell ref="AO3:AO4"/>
    <mergeCell ref="AP3:AP4"/>
    <mergeCell ref="AQ3:AQ4"/>
    <mergeCell ref="AR3:AS3"/>
    <mergeCell ref="BB3:BC3"/>
    <mergeCell ref="BD3:BD4"/>
    <mergeCell ref="BE3:BE4"/>
    <mergeCell ref="BF3:BF4"/>
    <mergeCell ref="BG3:BH3"/>
    <mergeCell ref="AT3:AT4"/>
    <mergeCell ref="AU3:AU4"/>
    <mergeCell ref="AV3:AV4"/>
    <mergeCell ref="AW3:AX3"/>
    <mergeCell ref="AY3:AY4"/>
    <mergeCell ref="BP3:BP4"/>
    <mergeCell ref="BQ3:BR3"/>
    <mergeCell ref="B1:Y1"/>
    <mergeCell ref="BI3:BI4"/>
    <mergeCell ref="BJ3:BJ4"/>
    <mergeCell ref="BK3:BK4"/>
    <mergeCell ref="BL3:BM3"/>
    <mergeCell ref="BN3:BN4"/>
    <mergeCell ref="BO3:BO4"/>
    <mergeCell ref="BA3:BA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2013-07-25T09:06:53Z</dcterms:created>
  <dcterms:modified xsi:type="dcterms:W3CDTF">2013-07-25T09:25:30Z</dcterms:modified>
  <cp:category/>
  <cp:version/>
  <cp:contentType/>
  <cp:contentStatus/>
</cp:coreProperties>
</file>